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10" yWindow="75" windowWidth="9405" windowHeight="9045" tabRatio="677" activeTab="2"/>
  </bookViews>
  <sheets>
    <sheet name="Sum'ry" sheetId="1" r:id="rId1"/>
    <sheet name="expt" sheetId="2" r:id="rId2"/>
    <sheet name="1T R" sheetId="3" r:id="rId3"/>
  </sheets>
  <definedNames/>
  <calcPr fullCalcOnLoad="1"/>
</workbook>
</file>

<file path=xl/sharedStrings.xml><?xml version="1.0" encoding="utf-8"?>
<sst xmlns="http://schemas.openxmlformats.org/spreadsheetml/2006/main" count="292" uniqueCount="223">
  <si>
    <t>cable half width a</t>
  </si>
  <si>
    <t>cable half thickness b</t>
  </si>
  <si>
    <t>cable twist pitch</t>
  </si>
  <si>
    <t>b</t>
  </si>
  <si>
    <t>p</t>
  </si>
  <si>
    <t>crossover resistance</t>
  </si>
  <si>
    <t>Rc</t>
  </si>
  <si>
    <t>m</t>
  </si>
  <si>
    <t>ohm</t>
  </si>
  <si>
    <t>number of strands</t>
  </si>
  <si>
    <t>N</t>
  </si>
  <si>
    <t>adjacent resistance</t>
  </si>
  <si>
    <t>Ra</t>
  </si>
  <si>
    <t>ohm.m</t>
  </si>
  <si>
    <t>permeability fs</t>
  </si>
  <si>
    <t>henry/m</t>
  </si>
  <si>
    <t>sec</t>
  </si>
  <si>
    <t xml:space="preserve">    </t>
  </si>
  <si>
    <t>cable filling factor</t>
  </si>
  <si>
    <t>wire filling factor</t>
  </si>
  <si>
    <t>lw</t>
  </si>
  <si>
    <t>filament filling factor</t>
  </si>
  <si>
    <t>Tesla</t>
  </si>
  <si>
    <t>computed aperture field</t>
  </si>
  <si>
    <t>ramp time</t>
  </si>
  <si>
    <t>angle</t>
  </si>
  <si>
    <t>B trans</t>
  </si>
  <si>
    <t>G trans</t>
  </si>
  <si>
    <t>B parl</t>
  </si>
  <si>
    <t>B` trans</t>
  </si>
  <si>
    <t>Bmod</t>
  </si>
  <si>
    <t>Ptc</t>
  </si>
  <si>
    <t>Pta</t>
  </si>
  <si>
    <t>Pp</t>
  </si>
  <si>
    <t>Pf</t>
  </si>
  <si>
    <t>filament diameter</t>
  </si>
  <si>
    <t>m^2</t>
  </si>
  <si>
    <t>G` trans</t>
  </si>
  <si>
    <t>B` parl</t>
  </si>
  <si>
    <t>B`mod</t>
  </si>
  <si>
    <t xml:space="preserve">Kim Anderson </t>
  </si>
  <si>
    <t>A/m^2</t>
  </si>
  <si>
    <t>Ps</t>
  </si>
  <si>
    <t>Pd</t>
  </si>
  <si>
    <t>Block limits for integration</t>
  </si>
  <si>
    <t>block</t>
  </si>
  <si>
    <t>wire twist pitch</t>
  </si>
  <si>
    <t xml:space="preserve"> dc fields as computed at centre of cable</t>
  </si>
  <si>
    <t>A/m^2/T</t>
  </si>
  <si>
    <t>Bcomp</t>
  </si>
  <si>
    <t>metre</t>
  </si>
  <si>
    <t>length of magnet =</t>
  </si>
  <si>
    <t>ramp rate</t>
  </si>
  <si>
    <t>T/s</t>
  </si>
  <si>
    <t>B`</t>
  </si>
  <si>
    <t>turn area per degree =</t>
  </si>
  <si>
    <t>cycle time =</t>
  </si>
  <si>
    <t>Tr</t>
  </si>
  <si>
    <t>maximum =</t>
  </si>
  <si>
    <r>
      <t>m</t>
    </r>
    <r>
      <rPr>
        <sz val="11"/>
        <rFont val="Arial Narrow"/>
        <family val="2"/>
      </rPr>
      <t>o</t>
    </r>
  </si>
  <si>
    <r>
      <t>l</t>
    </r>
    <r>
      <rPr>
        <sz val="11"/>
        <rFont val="Arial Narrow"/>
        <family val="2"/>
      </rPr>
      <t>c</t>
    </r>
  </si>
  <si>
    <r>
      <t>l</t>
    </r>
    <r>
      <rPr>
        <sz val="11"/>
        <rFont val="Arial"/>
        <family val="2"/>
      </rPr>
      <t>f</t>
    </r>
  </si>
  <si>
    <r>
      <t>J</t>
    </r>
    <r>
      <rPr>
        <vertAlign val="subscript"/>
        <sz val="11"/>
        <rFont val="Arial"/>
        <family val="2"/>
      </rPr>
      <t>o</t>
    </r>
  </si>
  <si>
    <r>
      <t>B</t>
    </r>
    <r>
      <rPr>
        <vertAlign val="subscript"/>
        <sz val="11"/>
        <rFont val="Arial"/>
        <family val="2"/>
      </rPr>
      <t>o</t>
    </r>
  </si>
  <si>
    <r>
      <t>min</t>
    </r>
    <r>
      <rPr>
        <sz val="11"/>
        <rFont val="Symbol"/>
        <family val="1"/>
      </rPr>
      <t xml:space="preserve"> f</t>
    </r>
  </si>
  <si>
    <r>
      <t>max</t>
    </r>
    <r>
      <rPr>
        <sz val="11"/>
        <rFont val="Symbol"/>
        <family val="1"/>
      </rPr>
      <t xml:space="preserve"> f</t>
    </r>
  </si>
  <si>
    <r>
      <t>A</t>
    </r>
    <r>
      <rPr>
        <vertAlign val="subscript"/>
        <sz val="11"/>
        <rFont val="Arial"/>
        <family val="2"/>
      </rPr>
      <t>0</t>
    </r>
  </si>
  <si>
    <r>
      <t>A</t>
    </r>
    <r>
      <rPr>
        <vertAlign val="subscript"/>
        <sz val="11"/>
        <rFont val="Arial"/>
        <family val="2"/>
      </rPr>
      <t>1</t>
    </r>
  </si>
  <si>
    <t>ramp ratio Bi / Be</t>
  </si>
  <si>
    <t>ramping/average factor</t>
  </si>
  <si>
    <t>fh</t>
  </si>
  <si>
    <t>matrix ratio</t>
  </si>
  <si>
    <t>mat</t>
  </si>
  <si>
    <t>Hysteresis detail</t>
  </si>
  <si>
    <t>fields in 5 sections of cable</t>
  </si>
  <si>
    <t>Hyst loss powers in 5 sections of cable</t>
  </si>
  <si>
    <t>B1</t>
  </si>
  <si>
    <t>B2</t>
  </si>
  <si>
    <t>B3</t>
  </si>
  <si>
    <t>B4</t>
  </si>
  <si>
    <t>B5</t>
  </si>
  <si>
    <t>Ph1</t>
  </si>
  <si>
    <t>Ph2</t>
  </si>
  <si>
    <t>Ph3</t>
  </si>
  <si>
    <t>Ph4</t>
  </si>
  <si>
    <t>Ph5</t>
  </si>
  <si>
    <t>Binj</t>
  </si>
  <si>
    <t>Joules</t>
  </si>
  <si>
    <t>Bmax</t>
  </si>
  <si>
    <t>Iron Q</t>
  </si>
  <si>
    <t>Iext</t>
  </si>
  <si>
    <t>Bext</t>
  </si>
  <si>
    <t>Iinj</t>
  </si>
  <si>
    <t>n =</t>
  </si>
  <si>
    <t>Amp</t>
  </si>
  <si>
    <t>calc hyst &amp; prox'y loss at 5 points in cable</t>
  </si>
  <si>
    <t>max magnet current</t>
  </si>
  <si>
    <t>max aperture field</t>
  </si>
  <si>
    <t>min magnet current</t>
  </si>
  <si>
    <t>min aperture field</t>
  </si>
  <si>
    <t>A</t>
  </si>
  <si>
    <t>C</t>
  </si>
  <si>
    <t>D</t>
  </si>
  <si>
    <t>g</t>
  </si>
  <si>
    <t xml:space="preserve">1) Iron loss from Carsten2.xls </t>
  </si>
  <si>
    <t>fitted to</t>
  </si>
  <si>
    <r>
      <t>D</t>
    </r>
    <r>
      <rPr>
        <sz val="10"/>
        <rFont val="Arial"/>
        <family val="0"/>
      </rPr>
      <t>B</t>
    </r>
  </si>
  <si>
    <t>dB/dt</t>
  </si>
  <si>
    <t>0.67 T</t>
  </si>
  <si>
    <t>1 T</t>
  </si>
  <si>
    <t>3.08 T</t>
  </si>
  <si>
    <t>3.6 T</t>
  </si>
  <si>
    <t>4 T</t>
  </si>
  <si>
    <t>m, Std. Error</t>
  </si>
  <si>
    <t>crossover transverse power</t>
  </si>
  <si>
    <t>adjacent transverse power</t>
  </si>
  <si>
    <t>adjacent parallel power</t>
  </si>
  <si>
    <t>filament coupling power</t>
  </si>
  <si>
    <t>proximity power</t>
  </si>
  <si>
    <t>dPht1</t>
  </si>
  <si>
    <t>dPht2</t>
  </si>
  <si>
    <t>dPht3</t>
  </si>
  <si>
    <t>dPht4</t>
  </si>
  <si>
    <t>dPht5</t>
  </si>
  <si>
    <t>ohm.m/T</t>
  </si>
  <si>
    <t>wire trans res'y intercept</t>
  </si>
  <si>
    <t>wire trans res'y gradient</t>
  </si>
  <si>
    <r>
      <t>C</t>
    </r>
    <r>
      <rPr>
        <vertAlign val="subscript"/>
        <sz val="11"/>
        <rFont val="Symbol"/>
        <family val="1"/>
      </rPr>
      <t>r</t>
    </r>
    <r>
      <rPr>
        <vertAlign val="subscript"/>
        <sz val="11"/>
        <rFont val="Arial"/>
        <family val="2"/>
      </rPr>
      <t>et</t>
    </r>
  </si>
  <si>
    <r>
      <t>m</t>
    </r>
    <r>
      <rPr>
        <vertAlign val="subscript"/>
        <sz val="11"/>
        <rFont val="Symbol"/>
        <family val="1"/>
      </rPr>
      <t>r</t>
    </r>
    <r>
      <rPr>
        <vertAlign val="subscript"/>
        <sz val="11"/>
        <rFont val="Arial"/>
        <family val="2"/>
      </rPr>
      <t>et</t>
    </r>
  </si>
  <si>
    <r>
      <t>p</t>
    </r>
    <r>
      <rPr>
        <vertAlign val="subscript"/>
        <sz val="11"/>
        <rFont val="Arial"/>
        <family val="2"/>
      </rPr>
      <t>w</t>
    </r>
  </si>
  <si>
    <r>
      <t>d</t>
    </r>
    <r>
      <rPr>
        <vertAlign val="subscript"/>
        <sz val="11"/>
        <rFont val="Arial"/>
        <family val="2"/>
      </rPr>
      <t>f</t>
    </r>
  </si>
  <si>
    <t>cook factor trans Ra</t>
  </si>
  <si>
    <t>cook factor trans Rc</t>
  </si>
  <si>
    <t>cook factor par'l Ra</t>
  </si>
  <si>
    <t>cook factor hysteresis</t>
  </si>
  <si>
    <t>ftc</t>
  </si>
  <si>
    <t>fta</t>
  </si>
  <si>
    <t>fpa</t>
  </si>
  <si>
    <t>hysteresis power</t>
  </si>
  <si>
    <t>transport current  correction</t>
  </si>
  <si>
    <t xml:space="preserve">Mod'd Kim Anderson </t>
  </si>
  <si>
    <r>
      <t>J</t>
    </r>
    <r>
      <rPr>
        <vertAlign val="subscript"/>
        <sz val="11"/>
        <rFont val="Arial"/>
        <family val="2"/>
      </rPr>
      <t>so</t>
    </r>
  </si>
  <si>
    <r>
      <t>B</t>
    </r>
    <r>
      <rPr>
        <vertAlign val="subscript"/>
        <sz val="11"/>
        <rFont val="Arial"/>
        <family val="2"/>
      </rPr>
      <t>so</t>
    </r>
  </si>
  <si>
    <t>c</t>
  </si>
  <si>
    <t xml:space="preserve">actual ramp rates and field </t>
  </si>
  <si>
    <t>transp cur correction in 5 sections</t>
  </si>
  <si>
    <t>components of loss per unit volume of winding</t>
  </si>
  <si>
    <t>sum of</t>
  </si>
  <si>
    <t>average</t>
  </si>
  <si>
    <r>
      <t>f</t>
    </r>
    <r>
      <rPr>
        <vertAlign val="subscript"/>
        <sz val="11"/>
        <rFont val="Arial Narrow"/>
        <family val="2"/>
      </rPr>
      <t>r</t>
    </r>
  </si>
  <si>
    <t>DB</t>
  </si>
  <si>
    <t>0.31 T</t>
  </si>
  <si>
    <t>Summary of Richard Thomas Results</t>
  </si>
  <si>
    <t>abbreviated version of sheet 'Bdot fits' from GSI001L123.xls</t>
  </si>
  <si>
    <t>Q J/cycle</t>
  </si>
  <si>
    <r>
      <t>D</t>
    </r>
    <r>
      <rPr>
        <sz val="10"/>
        <rFont val="Arial"/>
        <family val="0"/>
      </rPr>
      <t>B =</t>
    </r>
  </si>
  <si>
    <t>1.9T</t>
  </si>
  <si>
    <t>2.0T</t>
  </si>
  <si>
    <t>total loss/m^3</t>
  </si>
  <si>
    <t>% of total loss/m^3</t>
  </si>
  <si>
    <t>loss/m/</t>
  </si>
  <si>
    <t>sum of segment loss/m</t>
  </si>
  <si>
    <t>power</t>
  </si>
  <si>
    <t>ramping</t>
  </si>
  <si>
    <t>mean</t>
  </si>
  <si>
    <t>Watts</t>
  </si>
  <si>
    <t>loss/</t>
  </si>
  <si>
    <t>cycle</t>
  </si>
  <si>
    <t>parallel adjacent</t>
  </si>
  <si>
    <t>filament coupling</t>
  </si>
  <si>
    <t>hysteresis</t>
  </si>
  <si>
    <t>transv'se adjacent</t>
  </si>
  <si>
    <t>fraction</t>
  </si>
  <si>
    <t>of total</t>
  </si>
  <si>
    <t>%</t>
  </si>
  <si>
    <t>load line fitting</t>
  </si>
  <si>
    <t>segm't</t>
  </si>
  <si>
    <t>Ph</t>
  </si>
  <si>
    <r>
      <t xml:space="preserve"> D</t>
    </r>
    <r>
      <rPr>
        <sz val="11"/>
        <rFont val="Arial Narrow"/>
        <family val="2"/>
      </rPr>
      <t>Ph</t>
    </r>
  </si>
  <si>
    <r>
      <t>loss/m</t>
    </r>
    <r>
      <rPr>
        <vertAlign val="superscript"/>
        <sz val="11"/>
        <rFont val="Arial Narrow"/>
        <family val="2"/>
      </rPr>
      <t>3</t>
    </r>
  </si>
  <si>
    <t xml:space="preserve">delta hysteresis </t>
  </si>
  <si>
    <t>total hysteresis</t>
  </si>
  <si>
    <t>total magnet</t>
  </si>
  <si>
    <t>std error</t>
  </si>
  <si>
    <t>total Q</t>
  </si>
  <si>
    <t>Q/cycle transp I corr'd</t>
  </si>
  <si>
    <r>
      <t xml:space="preserve">Gradient Loss / B` versus </t>
    </r>
    <r>
      <rPr>
        <b/>
        <sz val="10"/>
        <rFont val="Symbol"/>
        <family val="1"/>
      </rPr>
      <t>D</t>
    </r>
    <r>
      <rPr>
        <b/>
        <sz val="10"/>
        <rFont val="Arial"/>
        <family val="2"/>
      </rPr>
      <t>B</t>
    </r>
  </si>
  <si>
    <t xml:space="preserve">data from GSI001LI123.xls  sheet Bdotfits </t>
  </si>
  <si>
    <r>
      <t xml:space="preserve">Intercept  Loss / B` versus </t>
    </r>
    <r>
      <rPr>
        <b/>
        <sz val="10"/>
        <rFont val="Symbol"/>
        <family val="1"/>
      </rPr>
      <t>D</t>
    </r>
    <r>
      <rPr>
        <b/>
        <sz val="10"/>
        <rFont val="Arial"/>
        <family val="2"/>
      </rPr>
      <t>B = hystersis</t>
    </r>
  </si>
  <si>
    <t>T</t>
  </si>
  <si>
    <t>Joule/ cycle</t>
  </si>
  <si>
    <t>3) Comparison data from 14-3(3)B with ft = 1</t>
  </si>
  <si>
    <t xml:space="preserve">Qh </t>
  </si>
  <si>
    <t xml:space="preserve">no transp I </t>
  </si>
  <si>
    <t>QhI</t>
  </si>
  <si>
    <t>with transp I</t>
  </si>
  <si>
    <t>Qi</t>
  </si>
  <si>
    <t>iron loss</t>
  </si>
  <si>
    <t>Qt</t>
  </si>
  <si>
    <t>total loss</t>
  </si>
  <si>
    <t>Summary of theory results + fitted iron loss</t>
  </si>
  <si>
    <t>J/(T/s)</t>
  </si>
  <si>
    <t>gradient Qt / B`</t>
  </si>
  <si>
    <t>Appendix 14-4(4): Hysteresis and coupling losses in dipole 001</t>
  </si>
  <si>
    <r>
      <t>C</t>
    </r>
    <r>
      <rPr>
        <vertAlign val="subscript"/>
        <sz val="11"/>
        <rFont val="Arial Narrow"/>
        <family val="2"/>
      </rPr>
      <t>L</t>
    </r>
    <r>
      <rPr>
        <sz val="11"/>
        <rFont val="Arial Narrow"/>
        <family val="2"/>
      </rPr>
      <t xml:space="preserve"> =</t>
    </r>
  </si>
  <si>
    <r>
      <t>D</t>
    </r>
    <r>
      <rPr>
        <vertAlign val="subscript"/>
        <sz val="11"/>
        <rFont val="Arial Narrow"/>
        <family val="2"/>
      </rPr>
      <t>L</t>
    </r>
    <r>
      <rPr>
        <sz val="11"/>
        <rFont val="Arial Narrow"/>
        <family val="2"/>
      </rPr>
      <t xml:space="preserve"> =</t>
    </r>
  </si>
  <si>
    <t>2) Magnet loss vs B` GSI-4</t>
  </si>
  <si>
    <t xml:space="preserve">4) Hysteresis Loss GSI-4 </t>
  </si>
  <si>
    <t>5) Hysteresis Loss RHIC wire</t>
  </si>
  <si>
    <t>Appendix 14-4(4): Hysteresis and coupling losses</t>
  </si>
  <si>
    <t>Appendix 14-4(5): Hysteresis and coupling losses in dipole 001</t>
  </si>
  <si>
    <t>wire radius</t>
  </si>
  <si>
    <r>
      <t>a</t>
    </r>
    <r>
      <rPr>
        <vertAlign val="subscript"/>
        <sz val="11"/>
        <rFont val="Arial Narrow"/>
        <family val="2"/>
      </rPr>
      <t>w</t>
    </r>
  </si>
  <si>
    <t>radius of fil't boundary</t>
  </si>
  <si>
    <r>
      <t>a</t>
    </r>
    <r>
      <rPr>
        <vertAlign val="subscript"/>
        <sz val="11"/>
        <rFont val="Arial Narrow"/>
        <family val="2"/>
      </rPr>
      <t>fb</t>
    </r>
  </si>
  <si>
    <t>filament coupling term includes magnetoresistance and is defined over filament boundary</t>
  </si>
  <si>
    <t>no proximity coupling</t>
  </si>
  <si>
    <t>mm</t>
  </si>
  <si>
    <t>with transport current term in hysteresis loss</t>
  </si>
  <si>
    <t>Be =</t>
  </si>
  <si>
    <t xml:space="preserve">T  </t>
  </si>
  <si>
    <t>dB/dt =</t>
  </si>
  <si>
    <t>transv'se cr'sover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</si>
</sst>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  <numFmt numFmtId="166" formatCode="0.000E+00"/>
    <numFmt numFmtId="167" formatCode="0.0%"/>
    <numFmt numFmtId="168" formatCode="0.0"/>
    <numFmt numFmtId="169" formatCode="0.E+00"/>
    <numFmt numFmtId="170" formatCode="0.0E+00"/>
    <numFmt numFmtId="171" formatCode="0.000000"/>
    <numFmt numFmtId="172" formatCode="0.000000000"/>
    <numFmt numFmtId="173" formatCode="0.00000"/>
    <numFmt numFmtId="174" formatCode="&quot;£&quot;#,##0.000"/>
    <numFmt numFmtId="175" formatCode="#,##0.000"/>
    <numFmt numFmtId="176" formatCode="#,##0.0000"/>
  </numFmts>
  <fonts count="22">
    <font>
      <sz val="10"/>
      <name val="Arial"/>
      <family val="0"/>
    </font>
    <font>
      <b/>
      <sz val="11"/>
      <name val="Arial Narrow"/>
      <family val="2"/>
    </font>
    <font>
      <sz val="11"/>
      <name val="Arial Narrow"/>
      <family val="2"/>
    </font>
    <font>
      <sz val="11"/>
      <name val="Arial"/>
      <family val="0"/>
    </font>
    <font>
      <sz val="11"/>
      <name val="Symbol"/>
      <family val="1"/>
    </font>
    <font>
      <vertAlign val="subscript"/>
      <sz val="11"/>
      <name val="Arial"/>
      <family val="2"/>
    </font>
    <font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Symbol"/>
      <family val="1"/>
    </font>
    <font>
      <b/>
      <sz val="10"/>
      <name val="Symbol"/>
      <family val="1"/>
    </font>
    <font>
      <sz val="14"/>
      <name val="Arial"/>
      <family val="2"/>
    </font>
    <font>
      <vertAlign val="subscript"/>
      <sz val="11"/>
      <name val="Symbol"/>
      <family val="1"/>
    </font>
    <font>
      <vertAlign val="subscript"/>
      <sz val="11"/>
      <name val="Arial Narrow"/>
      <family val="2"/>
    </font>
    <font>
      <sz val="13.75"/>
      <name val="Arial"/>
      <family val="2"/>
    </font>
    <font>
      <sz val="13"/>
      <name val="Arial"/>
      <family val="2"/>
    </font>
    <font>
      <vertAlign val="superscript"/>
      <sz val="11"/>
      <name val="Arial Narrow"/>
      <family val="2"/>
    </font>
    <font>
      <sz val="9"/>
      <name val="Arial"/>
      <family val="2"/>
    </font>
    <font>
      <sz val="10.75"/>
      <name val="Arial"/>
      <family val="2"/>
    </font>
    <font>
      <sz val="11.25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68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1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center"/>
    </xf>
    <xf numFmtId="11" fontId="2" fillId="0" borderId="0" xfId="0" applyNumberFormat="1" applyFont="1" applyAlignment="1">
      <alignment/>
    </xf>
    <xf numFmtId="168" fontId="3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center" wrapText="1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7" fontId="2" fillId="0" borderId="0" xfId="0" applyNumberFormat="1" applyFont="1" applyAlignment="1">
      <alignment horizontal="center"/>
    </xf>
    <xf numFmtId="170" fontId="0" fillId="0" borderId="0" xfId="0" applyNumberFormat="1" applyAlignment="1">
      <alignment/>
    </xf>
    <xf numFmtId="170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70" fontId="2" fillId="0" borderId="0" xfId="0" applyNumberFormat="1" applyFont="1" applyAlignment="1">
      <alignment horizontal="center"/>
    </xf>
    <xf numFmtId="170" fontId="2" fillId="0" borderId="0" xfId="0" applyNumberFormat="1" applyFon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0" fontId="9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11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/>
    </xf>
    <xf numFmtId="11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8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11" fontId="2" fillId="0" borderId="4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70" fontId="6" fillId="0" borderId="1" xfId="0" applyNumberFormat="1" applyFont="1" applyBorder="1" applyAlignment="1">
      <alignment horizontal="center"/>
    </xf>
    <xf numFmtId="170" fontId="6" fillId="0" borderId="2" xfId="0" applyNumberFormat="1" applyFont="1" applyBorder="1" applyAlignment="1">
      <alignment horizontal="center"/>
    </xf>
    <xf numFmtId="170" fontId="6" fillId="0" borderId="4" xfId="0" applyNumberFormat="1" applyFont="1" applyBorder="1" applyAlignment="1">
      <alignment horizontal="center"/>
    </xf>
    <xf numFmtId="11" fontId="6" fillId="0" borderId="2" xfId="0" applyNumberFormat="1" applyFont="1" applyBorder="1" applyAlignment="1">
      <alignment horizontal="center"/>
    </xf>
    <xf numFmtId="11" fontId="6" fillId="0" borderId="4" xfId="0" applyNumberFormat="1" applyFont="1" applyBorder="1" applyAlignment="1">
      <alignment horizontal="center"/>
    </xf>
    <xf numFmtId="170" fontId="6" fillId="0" borderId="6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8" fontId="6" fillId="0" borderId="7" xfId="0" applyNumberFormat="1" applyFont="1" applyBorder="1" applyAlignment="1">
      <alignment horizontal="center"/>
    </xf>
    <xf numFmtId="168" fontId="6" fillId="0" borderId="8" xfId="0" applyNumberFormat="1" applyFont="1" applyBorder="1" applyAlignment="1">
      <alignment horizontal="center"/>
    </xf>
    <xf numFmtId="168" fontId="6" fillId="0" borderId="3" xfId="0" applyNumberFormat="1" applyFont="1" applyBorder="1" applyAlignment="1">
      <alignment horizontal="center"/>
    </xf>
    <xf numFmtId="168" fontId="6" fillId="0" borderId="6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68" fontId="6" fillId="0" borderId="5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168" fontId="6" fillId="0" borderId="4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8" fontId="6" fillId="0" borderId="0" xfId="0" applyNumberFormat="1" applyFont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8" fontId="2" fillId="0" borderId="8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2" fontId="0" fillId="0" borderId="0" xfId="0" applyNumberFormat="1" applyAlignment="1">
      <alignment horizontal="left" wrapText="1"/>
    </xf>
    <xf numFmtId="2" fontId="11" fillId="0" borderId="9" xfId="0" applyNumberFormat="1" applyFont="1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 wrapText="1"/>
    </xf>
    <xf numFmtId="170" fontId="2" fillId="0" borderId="0" xfId="0" applyNumberFormat="1" applyFont="1" applyAlignment="1">
      <alignment horizontal="right"/>
    </xf>
    <xf numFmtId="173" fontId="2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168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8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2" fontId="2" fillId="0" borderId="7" xfId="0" applyNumberFormat="1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0" fontId="2" fillId="0" borderId="6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168" fontId="2" fillId="0" borderId="13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8" fontId="2" fillId="0" borderId="0" xfId="0" applyNumberFormat="1" applyFont="1" applyAlignment="1">
      <alignment horizontal="left"/>
    </xf>
    <xf numFmtId="168" fontId="2" fillId="0" borderId="4" xfId="0" applyNumberFormat="1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0" borderId="14" xfId="0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167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168" fontId="1" fillId="0" borderId="14" xfId="0" applyNumberFormat="1" applyFont="1" applyBorder="1" applyAlignment="1">
      <alignment horizontal="center"/>
    </xf>
    <xf numFmtId="167" fontId="1" fillId="0" borderId="14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2" fontId="0" fillId="0" borderId="0" xfId="0" applyNumberFormat="1" applyFont="1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11" fontId="6" fillId="0" borderId="7" xfId="0" applyNumberFormat="1" applyFont="1" applyBorder="1" applyAlignment="1">
      <alignment horizontal="center"/>
    </xf>
    <xf numFmtId="11" fontId="6" fillId="0" borderId="8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70" fontId="6" fillId="0" borderId="7" xfId="0" applyNumberFormat="1" applyFont="1" applyBorder="1" applyAlignment="1">
      <alignment horizontal="center"/>
    </xf>
    <xf numFmtId="170" fontId="6" fillId="0" borderId="8" xfId="0" applyNumberFormat="1" applyFont="1" applyBorder="1" applyAlignment="1">
      <alignment horizontal="center"/>
    </xf>
    <xf numFmtId="170" fontId="0" fillId="0" borderId="3" xfId="0" applyNumberFormat="1" applyBorder="1" applyAlignment="1">
      <alignment horizontal="center"/>
    </xf>
    <xf numFmtId="170" fontId="0" fillId="0" borderId="3" xfId="0" applyNumberFormat="1" applyBorder="1" applyAlignment="1">
      <alignment/>
    </xf>
    <xf numFmtId="11" fontId="2" fillId="0" borderId="7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170" fontId="0" fillId="0" borderId="8" xfId="0" applyNumberFormat="1" applyBorder="1" applyAlignment="1">
      <alignment horizontal="center"/>
    </xf>
    <xf numFmtId="1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1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176" fontId="2" fillId="0" borderId="0" xfId="0" applyNumberFormat="1" applyFont="1" applyAlignment="1">
      <alignment horizontal="center"/>
    </xf>
    <xf numFmtId="11" fontId="2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"/>
          <c:w val="0.9655"/>
          <c:h val="0.9705"/>
        </c:manualLayout>
      </c:layout>
      <c:scatterChart>
        <c:scatterStyle val="smoothMarker"/>
        <c:varyColors val="0"/>
        <c:ser>
          <c:idx val="0"/>
          <c:order val="0"/>
          <c:tx>
            <c:v>1T expt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expt!$G$7:$G$20</c:f>
              <c:numCache>
                <c:ptCount val="14"/>
                <c:pt idx="0">
                  <c:v>1.87725630618</c:v>
                </c:pt>
                <c:pt idx="1">
                  <c:v>1.87736953695</c:v>
                </c:pt>
                <c:pt idx="2">
                  <c:v>1.87728712345</c:v>
                </c:pt>
                <c:pt idx="3">
                  <c:v>1.87724820281</c:v>
                </c:pt>
                <c:pt idx="4">
                  <c:v>2.83131660538</c:v>
                </c:pt>
                <c:pt idx="5">
                  <c:v>2.83410735106</c:v>
                </c:pt>
                <c:pt idx="6">
                  <c:v>2.8276488407</c:v>
                </c:pt>
                <c:pt idx="7">
                  <c:v>2.79652713203</c:v>
                </c:pt>
                <c:pt idx="8">
                  <c:v>2.82775606348</c:v>
                </c:pt>
                <c:pt idx="9">
                  <c:v>2.83613691563</c:v>
                </c:pt>
                <c:pt idx="10">
                  <c:v>2.8277695042</c:v>
                </c:pt>
                <c:pt idx="11">
                  <c:v>3.75358290392</c:v>
                </c:pt>
                <c:pt idx="12">
                  <c:v>3.74584962265</c:v>
                </c:pt>
                <c:pt idx="13">
                  <c:v>3.74990473649</c:v>
                </c:pt>
              </c:numCache>
            </c:numRef>
          </c:xVal>
          <c:yVal>
            <c:numRef>
              <c:f>expt!$H$7:$H$20</c:f>
              <c:numCache>
                <c:ptCount val="14"/>
                <c:pt idx="0">
                  <c:v>20.6185921535</c:v>
                </c:pt>
                <c:pt idx="1">
                  <c:v>20.9512563695</c:v>
                </c:pt>
                <c:pt idx="2">
                  <c:v>21.0651500308</c:v>
                </c:pt>
                <c:pt idx="3">
                  <c:v>21.5036242275</c:v>
                </c:pt>
                <c:pt idx="4">
                  <c:v>23.220836102</c:v>
                </c:pt>
                <c:pt idx="5">
                  <c:v>23.5839579082</c:v>
                </c:pt>
                <c:pt idx="6">
                  <c:v>23.9470327653</c:v>
                </c:pt>
                <c:pt idx="7">
                  <c:v>24.0164588793</c:v>
                </c:pt>
                <c:pt idx="8">
                  <c:v>24.3031478049</c:v>
                </c:pt>
                <c:pt idx="9">
                  <c:v>24.4894156076</c:v>
                </c:pt>
                <c:pt idx="10">
                  <c:v>24.4999383287</c:v>
                </c:pt>
                <c:pt idx="11">
                  <c:v>25.4906532387</c:v>
                </c:pt>
                <c:pt idx="12">
                  <c:v>25.8265090711</c:v>
                </c:pt>
                <c:pt idx="13">
                  <c:v>26.1855764496</c:v>
                </c:pt>
              </c:numCache>
            </c:numRef>
          </c:yVal>
          <c:smooth val="1"/>
        </c:ser>
        <c:ser>
          <c:idx val="2"/>
          <c:order val="1"/>
          <c:tx>
            <c:v>2T expt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expt!$M$7:$M$25</c:f>
              <c:numCache>
                <c:ptCount val="19"/>
                <c:pt idx="0">
                  <c:v>0.0282885372317</c:v>
                </c:pt>
                <c:pt idx="1">
                  <c:v>0.0282877780164</c:v>
                </c:pt>
                <c:pt idx="2">
                  <c:v>1.90046685148</c:v>
                </c:pt>
                <c:pt idx="3">
                  <c:v>1.90040960082</c:v>
                </c:pt>
                <c:pt idx="4">
                  <c:v>1.90047971583</c:v>
                </c:pt>
                <c:pt idx="5">
                  <c:v>1.90046896756</c:v>
                </c:pt>
                <c:pt idx="6">
                  <c:v>2.82313805244</c:v>
                </c:pt>
                <c:pt idx="7">
                  <c:v>2.82310644514</c:v>
                </c:pt>
                <c:pt idx="8">
                  <c:v>2.82305262292</c:v>
                </c:pt>
                <c:pt idx="9">
                  <c:v>3.05869142218</c:v>
                </c:pt>
                <c:pt idx="10">
                  <c:v>3.05838920558</c:v>
                </c:pt>
                <c:pt idx="11">
                  <c:v>3.05888670188</c:v>
                </c:pt>
                <c:pt idx="12">
                  <c:v>3.77256205225</c:v>
                </c:pt>
                <c:pt idx="13">
                  <c:v>3.77294014141</c:v>
                </c:pt>
                <c:pt idx="14">
                  <c:v>3.77308964286</c:v>
                </c:pt>
                <c:pt idx="15">
                  <c:v>3.84982053117</c:v>
                </c:pt>
                <c:pt idx="16">
                  <c:v>3.84760471072</c:v>
                </c:pt>
                <c:pt idx="17">
                  <c:v>3.84790213373</c:v>
                </c:pt>
                <c:pt idx="18">
                  <c:v>3.84804450442</c:v>
                </c:pt>
              </c:numCache>
            </c:numRef>
          </c:xVal>
          <c:yVal>
            <c:numRef>
              <c:f>expt!$N$7:$N$25</c:f>
              <c:numCache>
                <c:ptCount val="19"/>
                <c:pt idx="0">
                  <c:v>15.5093894295</c:v>
                </c:pt>
                <c:pt idx="1">
                  <c:v>21.60092024</c:v>
                </c:pt>
                <c:pt idx="2">
                  <c:v>36.9259697867</c:v>
                </c:pt>
                <c:pt idx="3">
                  <c:v>37.1438802494</c:v>
                </c:pt>
                <c:pt idx="4">
                  <c:v>38.2945035694</c:v>
                </c:pt>
                <c:pt idx="5">
                  <c:v>40.4004596718</c:v>
                </c:pt>
                <c:pt idx="6">
                  <c:v>45.27274235</c:v>
                </c:pt>
                <c:pt idx="7">
                  <c:v>45.6531375072</c:v>
                </c:pt>
                <c:pt idx="8">
                  <c:v>45.7926254944</c:v>
                </c:pt>
                <c:pt idx="9">
                  <c:v>46.0593394573</c:v>
                </c:pt>
                <c:pt idx="10">
                  <c:v>47.5162249881</c:v>
                </c:pt>
                <c:pt idx="11">
                  <c:v>48.9462172815</c:v>
                </c:pt>
                <c:pt idx="12">
                  <c:v>49.9134646989</c:v>
                </c:pt>
                <c:pt idx="13">
                  <c:v>50.6196963395</c:v>
                </c:pt>
                <c:pt idx="14">
                  <c:v>50.8401581701</c:v>
                </c:pt>
                <c:pt idx="15">
                  <c:v>51.7301085543</c:v>
                </c:pt>
                <c:pt idx="16">
                  <c:v>52.3137879665</c:v>
                </c:pt>
                <c:pt idx="17">
                  <c:v>53.1053056428</c:v>
                </c:pt>
                <c:pt idx="18">
                  <c:v>53.6659361944</c:v>
                </c:pt>
              </c:numCache>
            </c:numRef>
          </c:yVal>
          <c:smooth val="1"/>
        </c:ser>
        <c:ser>
          <c:idx val="3"/>
          <c:order val="2"/>
          <c:tx>
            <c:v>3.08T expt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expt!$A$18:$A$87</c:f>
              <c:numCache>
                <c:ptCount val="70"/>
                <c:pt idx="0">
                  <c:v>0.275702343612</c:v>
                </c:pt>
                <c:pt idx="1">
                  <c:v>0.275701899201</c:v>
                </c:pt>
                <c:pt idx="2">
                  <c:v>0.275708549916</c:v>
                </c:pt>
                <c:pt idx="3">
                  <c:v>0.275682571024</c:v>
                </c:pt>
                <c:pt idx="4">
                  <c:v>0.275682110216</c:v>
                </c:pt>
                <c:pt idx="5">
                  <c:v>0.275684008615</c:v>
                </c:pt>
                <c:pt idx="6">
                  <c:v>0.312030024595</c:v>
                </c:pt>
                <c:pt idx="7">
                  <c:v>0.312030133801</c:v>
                </c:pt>
                <c:pt idx="8">
                  <c:v>0.31202925917</c:v>
                </c:pt>
                <c:pt idx="9">
                  <c:v>0.551697723547</c:v>
                </c:pt>
                <c:pt idx="10">
                  <c:v>0.551266444502</c:v>
                </c:pt>
                <c:pt idx="11">
                  <c:v>0.551231803794</c:v>
                </c:pt>
                <c:pt idx="12">
                  <c:v>0.551228533959</c:v>
                </c:pt>
                <c:pt idx="13">
                  <c:v>0.63408158736</c:v>
                </c:pt>
                <c:pt idx="14">
                  <c:v>0.734964333279</c:v>
                </c:pt>
                <c:pt idx="15">
                  <c:v>0.73491936291</c:v>
                </c:pt>
                <c:pt idx="16">
                  <c:v>0.735078887507</c:v>
                </c:pt>
                <c:pt idx="17">
                  <c:v>0.73500472333</c:v>
                </c:pt>
                <c:pt idx="18">
                  <c:v>0.919065404318</c:v>
                </c:pt>
                <c:pt idx="19">
                  <c:v>0.918959418731</c:v>
                </c:pt>
                <c:pt idx="20">
                  <c:v>0.91899495188</c:v>
                </c:pt>
                <c:pt idx="21">
                  <c:v>0.91899183529</c:v>
                </c:pt>
                <c:pt idx="22">
                  <c:v>0.948980902451</c:v>
                </c:pt>
                <c:pt idx="23">
                  <c:v>0.918964031412</c:v>
                </c:pt>
                <c:pt idx="24">
                  <c:v>0.918989809759</c:v>
                </c:pt>
                <c:pt idx="25">
                  <c:v>0.918867647127</c:v>
                </c:pt>
                <c:pt idx="26">
                  <c:v>0.948999398189</c:v>
                </c:pt>
                <c:pt idx="27">
                  <c:v>0.919018197121</c:v>
                </c:pt>
                <c:pt idx="28">
                  <c:v>0.949010598341</c:v>
                </c:pt>
                <c:pt idx="29">
                  <c:v>0.948979820692</c:v>
                </c:pt>
                <c:pt idx="30">
                  <c:v>1.10271616881</c:v>
                </c:pt>
                <c:pt idx="31">
                  <c:v>1.10265405368</c:v>
                </c:pt>
                <c:pt idx="32">
                  <c:v>1.10266123403</c:v>
                </c:pt>
                <c:pt idx="33">
                  <c:v>1.10266835709</c:v>
                </c:pt>
                <c:pt idx="34">
                  <c:v>1.10272060168</c:v>
                </c:pt>
                <c:pt idx="35">
                  <c:v>1.10273679141</c:v>
                </c:pt>
                <c:pt idx="36">
                  <c:v>1.28625741814</c:v>
                </c:pt>
                <c:pt idx="37">
                  <c:v>1.28635995626</c:v>
                </c:pt>
                <c:pt idx="38">
                  <c:v>1.28613217496</c:v>
                </c:pt>
                <c:pt idx="39">
                  <c:v>1.28623605951</c:v>
                </c:pt>
                <c:pt idx="40">
                  <c:v>1.47014629196</c:v>
                </c:pt>
                <c:pt idx="41">
                  <c:v>1.46991976275</c:v>
                </c:pt>
                <c:pt idx="42">
                  <c:v>1.46993398445</c:v>
                </c:pt>
                <c:pt idx="43">
                  <c:v>1.46992762626</c:v>
                </c:pt>
                <c:pt idx="44">
                  <c:v>1.65586988153</c:v>
                </c:pt>
                <c:pt idx="45">
                  <c:v>1.65368309945</c:v>
                </c:pt>
                <c:pt idx="46">
                  <c:v>1.65364509251</c:v>
                </c:pt>
                <c:pt idx="47">
                  <c:v>1.65361690064</c:v>
                </c:pt>
                <c:pt idx="48">
                  <c:v>1.653630502</c:v>
                </c:pt>
                <c:pt idx="49">
                  <c:v>1.84015710871</c:v>
                </c:pt>
                <c:pt idx="50">
                  <c:v>1.84097910674</c:v>
                </c:pt>
                <c:pt idx="51">
                  <c:v>1.84099357717</c:v>
                </c:pt>
                <c:pt idx="52">
                  <c:v>1.84100790732</c:v>
                </c:pt>
                <c:pt idx="53">
                  <c:v>1.84095619423</c:v>
                </c:pt>
                <c:pt idx="54">
                  <c:v>1.84014877184</c:v>
                </c:pt>
                <c:pt idx="55">
                  <c:v>1.83739841083</c:v>
                </c:pt>
                <c:pt idx="56">
                  <c:v>1.8378322056</c:v>
                </c:pt>
                <c:pt idx="57">
                  <c:v>1.83795029272</c:v>
                </c:pt>
                <c:pt idx="58">
                  <c:v>1.83733616699</c:v>
                </c:pt>
                <c:pt idx="59">
                  <c:v>1.83790355918</c:v>
                </c:pt>
                <c:pt idx="60">
                  <c:v>1.83750829725</c:v>
                </c:pt>
                <c:pt idx="61">
                  <c:v>1.83751338811</c:v>
                </c:pt>
                <c:pt idx="62">
                  <c:v>1.8993135535</c:v>
                </c:pt>
                <c:pt idx="63">
                  <c:v>1.89932782828</c:v>
                </c:pt>
                <c:pt idx="64">
                  <c:v>1.89743413728</c:v>
                </c:pt>
                <c:pt idx="65">
                  <c:v>1.8992727357</c:v>
                </c:pt>
                <c:pt idx="66">
                  <c:v>2.85711695349</c:v>
                </c:pt>
                <c:pt idx="67">
                  <c:v>2.85309181675</c:v>
                </c:pt>
                <c:pt idx="68">
                  <c:v>2.85713727708</c:v>
                </c:pt>
                <c:pt idx="69">
                  <c:v>3.84132990116</c:v>
                </c:pt>
              </c:numCache>
            </c:numRef>
          </c:xVal>
          <c:yVal>
            <c:numRef>
              <c:f>expt!$B$18:$B$87</c:f>
              <c:numCache>
                <c:ptCount val="70"/>
                <c:pt idx="0">
                  <c:v>29.688639626</c:v>
                </c:pt>
                <c:pt idx="1">
                  <c:v>30.7884545341</c:v>
                </c:pt>
                <c:pt idx="2">
                  <c:v>31.6745808803</c:v>
                </c:pt>
                <c:pt idx="3">
                  <c:v>32.411632896</c:v>
                </c:pt>
                <c:pt idx="4">
                  <c:v>32.4819665635</c:v>
                </c:pt>
                <c:pt idx="5">
                  <c:v>37.9464439799</c:v>
                </c:pt>
                <c:pt idx="6">
                  <c:v>34.626926374</c:v>
                </c:pt>
                <c:pt idx="7">
                  <c:v>34.7930119183</c:v>
                </c:pt>
                <c:pt idx="8">
                  <c:v>34.9926403107</c:v>
                </c:pt>
                <c:pt idx="9">
                  <c:v>40.4031766012</c:v>
                </c:pt>
                <c:pt idx="10">
                  <c:v>41.1820574802</c:v>
                </c:pt>
                <c:pt idx="11">
                  <c:v>41.2131644437</c:v>
                </c:pt>
                <c:pt idx="12">
                  <c:v>43.2963089922</c:v>
                </c:pt>
                <c:pt idx="13">
                  <c:v>39.3578839725</c:v>
                </c:pt>
                <c:pt idx="14">
                  <c:v>36.0783168138</c:v>
                </c:pt>
                <c:pt idx="15">
                  <c:v>40.3979489241</c:v>
                </c:pt>
                <c:pt idx="16">
                  <c:v>43.8956381922</c:v>
                </c:pt>
                <c:pt idx="17">
                  <c:v>44.3391844746</c:v>
                </c:pt>
                <c:pt idx="18">
                  <c:v>42.0521655608</c:v>
                </c:pt>
                <c:pt idx="19">
                  <c:v>43.7807373606</c:v>
                </c:pt>
                <c:pt idx="20">
                  <c:v>44.0719711244</c:v>
                </c:pt>
                <c:pt idx="21">
                  <c:v>44.7173987963</c:v>
                </c:pt>
                <c:pt idx="22">
                  <c:v>45.0296907361</c:v>
                </c:pt>
                <c:pt idx="23">
                  <c:v>45.1768422283</c:v>
                </c:pt>
                <c:pt idx="24">
                  <c:v>45.7646049791</c:v>
                </c:pt>
                <c:pt idx="25">
                  <c:v>45.9746507819</c:v>
                </c:pt>
                <c:pt idx="26">
                  <c:v>47.2564632345</c:v>
                </c:pt>
                <c:pt idx="27">
                  <c:v>47.4043312737</c:v>
                </c:pt>
                <c:pt idx="28">
                  <c:v>47.5698977644</c:v>
                </c:pt>
                <c:pt idx="29">
                  <c:v>49.3823950911</c:v>
                </c:pt>
                <c:pt idx="30">
                  <c:v>44.8295347365</c:v>
                </c:pt>
                <c:pt idx="31">
                  <c:v>45.9571743426</c:v>
                </c:pt>
                <c:pt idx="32">
                  <c:v>48.5118919668</c:v>
                </c:pt>
                <c:pt idx="33">
                  <c:v>49.0964371492</c:v>
                </c:pt>
                <c:pt idx="34">
                  <c:v>49.1462342509</c:v>
                </c:pt>
                <c:pt idx="35">
                  <c:v>50.7066110257</c:v>
                </c:pt>
                <c:pt idx="36">
                  <c:v>51.9143243004</c:v>
                </c:pt>
                <c:pt idx="37">
                  <c:v>54.0458558618</c:v>
                </c:pt>
                <c:pt idx="38">
                  <c:v>54.545793282</c:v>
                </c:pt>
                <c:pt idx="39">
                  <c:v>54.6109678599</c:v>
                </c:pt>
                <c:pt idx="40">
                  <c:v>53.0533391367</c:v>
                </c:pt>
                <c:pt idx="41">
                  <c:v>55.3867531354</c:v>
                </c:pt>
                <c:pt idx="42">
                  <c:v>56.7063379999</c:v>
                </c:pt>
                <c:pt idx="43">
                  <c:v>57.2888995473</c:v>
                </c:pt>
                <c:pt idx="44">
                  <c:v>56.3504250062</c:v>
                </c:pt>
                <c:pt idx="45">
                  <c:v>57.799351882</c:v>
                </c:pt>
                <c:pt idx="46">
                  <c:v>59.0010505658</c:v>
                </c:pt>
                <c:pt idx="47">
                  <c:v>61.3258467277</c:v>
                </c:pt>
                <c:pt idx="48">
                  <c:v>61.6367096745</c:v>
                </c:pt>
                <c:pt idx="49">
                  <c:v>48.5182561299</c:v>
                </c:pt>
                <c:pt idx="50">
                  <c:v>51.8977114955</c:v>
                </c:pt>
                <c:pt idx="51">
                  <c:v>51.921653959</c:v>
                </c:pt>
                <c:pt idx="52">
                  <c:v>53.3482069687</c:v>
                </c:pt>
                <c:pt idx="53">
                  <c:v>54.361442671</c:v>
                </c:pt>
                <c:pt idx="54">
                  <c:v>55.6702549076</c:v>
                </c:pt>
                <c:pt idx="55">
                  <c:v>59.3269374182</c:v>
                </c:pt>
                <c:pt idx="56">
                  <c:v>60.0590244196</c:v>
                </c:pt>
                <c:pt idx="57">
                  <c:v>61.4221450057</c:v>
                </c:pt>
                <c:pt idx="58">
                  <c:v>61.7151419837</c:v>
                </c:pt>
                <c:pt idx="59">
                  <c:v>61.8838770478</c:v>
                </c:pt>
                <c:pt idx="60">
                  <c:v>62.9664114678</c:v>
                </c:pt>
                <c:pt idx="61">
                  <c:v>63.4190964865</c:v>
                </c:pt>
                <c:pt idx="62">
                  <c:v>59.0139329107</c:v>
                </c:pt>
                <c:pt idx="63">
                  <c:v>59.7218644747</c:v>
                </c:pt>
                <c:pt idx="64">
                  <c:v>64.9155285491</c:v>
                </c:pt>
                <c:pt idx="65">
                  <c:v>65.6211540119</c:v>
                </c:pt>
                <c:pt idx="66">
                  <c:v>66.5385964943</c:v>
                </c:pt>
                <c:pt idx="67">
                  <c:v>70.0307690002</c:v>
                </c:pt>
                <c:pt idx="68">
                  <c:v>79.0210572333</c:v>
                </c:pt>
                <c:pt idx="69">
                  <c:v>95.7658837042</c:v>
                </c:pt>
              </c:numCache>
            </c:numRef>
          </c:yVal>
          <c:smooth val="1"/>
        </c:ser>
        <c:ser>
          <c:idx val="5"/>
          <c:order val="3"/>
          <c:tx>
            <c:v>4T expt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expt!$G$26:$G$85</c:f>
              <c:numCache>
                <c:ptCount val="60"/>
                <c:pt idx="0">
                  <c:v>0.949362569985</c:v>
                </c:pt>
                <c:pt idx="1">
                  <c:v>0.949368692074</c:v>
                </c:pt>
                <c:pt idx="2">
                  <c:v>0.949337927214</c:v>
                </c:pt>
                <c:pt idx="3">
                  <c:v>0.949378422414</c:v>
                </c:pt>
                <c:pt idx="4">
                  <c:v>1.13933390682</c:v>
                </c:pt>
                <c:pt idx="5">
                  <c:v>1.13929617044</c:v>
                </c:pt>
                <c:pt idx="6">
                  <c:v>1.13929014616</c:v>
                </c:pt>
                <c:pt idx="7">
                  <c:v>1.13928821822</c:v>
                </c:pt>
                <c:pt idx="8">
                  <c:v>1.32977553989</c:v>
                </c:pt>
                <c:pt idx="9">
                  <c:v>1.3296879577</c:v>
                </c:pt>
                <c:pt idx="10">
                  <c:v>1.32969683582</c:v>
                </c:pt>
                <c:pt idx="11">
                  <c:v>1.32959640285</c:v>
                </c:pt>
                <c:pt idx="12">
                  <c:v>1.52010706108</c:v>
                </c:pt>
                <c:pt idx="13">
                  <c:v>1.52009239026</c:v>
                </c:pt>
                <c:pt idx="14">
                  <c:v>1.52026518087</c:v>
                </c:pt>
                <c:pt idx="15">
                  <c:v>1.71035034893</c:v>
                </c:pt>
                <c:pt idx="16">
                  <c:v>1.71083422453</c:v>
                </c:pt>
                <c:pt idx="17">
                  <c:v>1.71040532364</c:v>
                </c:pt>
                <c:pt idx="18">
                  <c:v>1.71097820718</c:v>
                </c:pt>
                <c:pt idx="19">
                  <c:v>1.89900047373</c:v>
                </c:pt>
                <c:pt idx="20">
                  <c:v>1.89908531435</c:v>
                </c:pt>
                <c:pt idx="21">
                  <c:v>1.89905489541</c:v>
                </c:pt>
                <c:pt idx="22">
                  <c:v>1.89875289398</c:v>
                </c:pt>
                <c:pt idx="23">
                  <c:v>1.89901502492</c:v>
                </c:pt>
                <c:pt idx="24">
                  <c:v>1.89902849804</c:v>
                </c:pt>
                <c:pt idx="25">
                  <c:v>1.89917265919</c:v>
                </c:pt>
                <c:pt idx="26">
                  <c:v>1.89868644606</c:v>
                </c:pt>
                <c:pt idx="27">
                  <c:v>1.89914497265</c:v>
                </c:pt>
                <c:pt idx="28">
                  <c:v>1.89906215388</c:v>
                </c:pt>
                <c:pt idx="29">
                  <c:v>1.89884335191</c:v>
                </c:pt>
                <c:pt idx="30">
                  <c:v>1.89902451545</c:v>
                </c:pt>
                <c:pt idx="31">
                  <c:v>1.8987505021</c:v>
                </c:pt>
                <c:pt idx="32">
                  <c:v>1.89880665223</c:v>
                </c:pt>
                <c:pt idx="33">
                  <c:v>1.90239990994</c:v>
                </c:pt>
                <c:pt idx="34">
                  <c:v>1.89877623356</c:v>
                </c:pt>
                <c:pt idx="35">
                  <c:v>1.89878691896</c:v>
                </c:pt>
                <c:pt idx="36">
                  <c:v>1.89859369847</c:v>
                </c:pt>
                <c:pt idx="37">
                  <c:v>1.89829969335</c:v>
                </c:pt>
                <c:pt idx="38">
                  <c:v>1.90252775516</c:v>
                </c:pt>
                <c:pt idx="39">
                  <c:v>1.89863765485</c:v>
                </c:pt>
                <c:pt idx="40">
                  <c:v>1.90194961571</c:v>
                </c:pt>
                <c:pt idx="41">
                  <c:v>1.9008401229</c:v>
                </c:pt>
                <c:pt idx="42">
                  <c:v>1.8982524242</c:v>
                </c:pt>
                <c:pt idx="43">
                  <c:v>1.90265060637</c:v>
                </c:pt>
                <c:pt idx="44">
                  <c:v>1.90129885434</c:v>
                </c:pt>
                <c:pt idx="45">
                  <c:v>1.9009253813</c:v>
                </c:pt>
                <c:pt idx="46">
                  <c:v>1.89855869284</c:v>
                </c:pt>
                <c:pt idx="47">
                  <c:v>1.89826163254</c:v>
                </c:pt>
                <c:pt idx="48">
                  <c:v>1.90224151686</c:v>
                </c:pt>
                <c:pt idx="49">
                  <c:v>1.90080902329</c:v>
                </c:pt>
                <c:pt idx="50">
                  <c:v>2.84109212549</c:v>
                </c:pt>
                <c:pt idx="51">
                  <c:v>2.84111497287</c:v>
                </c:pt>
                <c:pt idx="52">
                  <c:v>2.84125564839</c:v>
                </c:pt>
                <c:pt idx="53">
                  <c:v>2.84107286514</c:v>
                </c:pt>
                <c:pt idx="54">
                  <c:v>3.79238061898</c:v>
                </c:pt>
                <c:pt idx="55">
                  <c:v>3.79355516679</c:v>
                </c:pt>
                <c:pt idx="56">
                  <c:v>3.79312931045</c:v>
                </c:pt>
                <c:pt idx="57">
                  <c:v>3.79358850111</c:v>
                </c:pt>
                <c:pt idx="58">
                  <c:v>3.79227789469</c:v>
                </c:pt>
                <c:pt idx="59">
                  <c:v>3.79241261912</c:v>
                </c:pt>
              </c:numCache>
            </c:numRef>
          </c:xVal>
          <c:yVal>
            <c:numRef>
              <c:f>expt!$H$26:$H$85</c:f>
              <c:numCache>
                <c:ptCount val="60"/>
                <c:pt idx="0">
                  <c:v>68.6460343847</c:v>
                </c:pt>
                <c:pt idx="1">
                  <c:v>69.0804803703</c:v>
                </c:pt>
                <c:pt idx="2">
                  <c:v>69.7423921202</c:v>
                </c:pt>
                <c:pt idx="3">
                  <c:v>72.3099855377</c:v>
                </c:pt>
                <c:pt idx="4">
                  <c:v>74.8258009191</c:v>
                </c:pt>
                <c:pt idx="5">
                  <c:v>76.9858808455</c:v>
                </c:pt>
                <c:pt idx="6">
                  <c:v>77.3011981784</c:v>
                </c:pt>
                <c:pt idx="7">
                  <c:v>78.2689973159</c:v>
                </c:pt>
                <c:pt idx="8">
                  <c:v>78.7806532759</c:v>
                </c:pt>
                <c:pt idx="9">
                  <c:v>80.3992995172</c:v>
                </c:pt>
                <c:pt idx="10">
                  <c:v>81.6485023944</c:v>
                </c:pt>
                <c:pt idx="11">
                  <c:v>82.9877358637</c:v>
                </c:pt>
                <c:pt idx="12">
                  <c:v>88.0443518419</c:v>
                </c:pt>
                <c:pt idx="13">
                  <c:v>88.639871199</c:v>
                </c:pt>
                <c:pt idx="14">
                  <c:v>92.6921284459</c:v>
                </c:pt>
                <c:pt idx="15">
                  <c:v>86.6636436305</c:v>
                </c:pt>
                <c:pt idx="16">
                  <c:v>87.0415388608</c:v>
                </c:pt>
                <c:pt idx="17">
                  <c:v>87.3602788698</c:v>
                </c:pt>
                <c:pt idx="18">
                  <c:v>90.2925783758</c:v>
                </c:pt>
                <c:pt idx="19">
                  <c:v>80.0857922779</c:v>
                </c:pt>
                <c:pt idx="20">
                  <c:v>81.0710240024</c:v>
                </c:pt>
                <c:pt idx="21">
                  <c:v>81.3419532765</c:v>
                </c:pt>
                <c:pt idx="22">
                  <c:v>83.5535175532</c:v>
                </c:pt>
                <c:pt idx="23">
                  <c:v>83.9868718553</c:v>
                </c:pt>
                <c:pt idx="24">
                  <c:v>83.9880384557</c:v>
                </c:pt>
                <c:pt idx="25">
                  <c:v>84.4547960173</c:v>
                </c:pt>
                <c:pt idx="26">
                  <c:v>84.9090124194</c:v>
                </c:pt>
                <c:pt idx="27">
                  <c:v>86.7485886307</c:v>
                </c:pt>
                <c:pt idx="28">
                  <c:v>86.9139373939</c:v>
                </c:pt>
                <c:pt idx="29">
                  <c:v>86.9545182924</c:v>
                </c:pt>
                <c:pt idx="30">
                  <c:v>87.1233024368</c:v>
                </c:pt>
                <c:pt idx="31">
                  <c:v>87.2233891058</c:v>
                </c:pt>
                <c:pt idx="32">
                  <c:v>87.3065800214</c:v>
                </c:pt>
                <c:pt idx="33">
                  <c:v>87.4391452723</c:v>
                </c:pt>
                <c:pt idx="34">
                  <c:v>87.6768938152</c:v>
                </c:pt>
                <c:pt idx="35">
                  <c:v>91.0071721397</c:v>
                </c:pt>
                <c:pt idx="36">
                  <c:v>92.7888340254</c:v>
                </c:pt>
                <c:pt idx="37">
                  <c:v>92.8160898907</c:v>
                </c:pt>
                <c:pt idx="38">
                  <c:v>93.0686986161</c:v>
                </c:pt>
                <c:pt idx="39">
                  <c:v>93.409515024</c:v>
                </c:pt>
                <c:pt idx="40">
                  <c:v>96.0436942604</c:v>
                </c:pt>
                <c:pt idx="41">
                  <c:v>96.2814735439</c:v>
                </c:pt>
                <c:pt idx="42">
                  <c:v>98.2776108368</c:v>
                </c:pt>
                <c:pt idx="43">
                  <c:v>98.922227363</c:v>
                </c:pt>
                <c:pt idx="44">
                  <c:v>99.1903897019</c:v>
                </c:pt>
                <c:pt idx="45">
                  <c:v>99.3089840679</c:v>
                </c:pt>
                <c:pt idx="46">
                  <c:v>100.041685761</c:v>
                </c:pt>
                <c:pt idx="47">
                  <c:v>100.626373646</c:v>
                </c:pt>
                <c:pt idx="48">
                  <c:v>100.845975764</c:v>
                </c:pt>
                <c:pt idx="49">
                  <c:v>101.805649842</c:v>
                </c:pt>
                <c:pt idx="50">
                  <c:v>113.9465255</c:v>
                </c:pt>
                <c:pt idx="51">
                  <c:v>120.197030361</c:v>
                </c:pt>
                <c:pt idx="52">
                  <c:v>121.983420786</c:v>
                </c:pt>
                <c:pt idx="53">
                  <c:v>132.370940551</c:v>
                </c:pt>
                <c:pt idx="54">
                  <c:v>140.246231092</c:v>
                </c:pt>
                <c:pt idx="55">
                  <c:v>140.422295089</c:v>
                </c:pt>
                <c:pt idx="56">
                  <c:v>141.728737717</c:v>
                </c:pt>
                <c:pt idx="57">
                  <c:v>144.826044207</c:v>
                </c:pt>
                <c:pt idx="58">
                  <c:v>146.053524217</c:v>
                </c:pt>
                <c:pt idx="59">
                  <c:v>153.238900143</c:v>
                </c:pt>
              </c:numCache>
            </c:numRef>
          </c:yVal>
          <c:smooth val="1"/>
        </c:ser>
        <c:ser>
          <c:idx val="1"/>
          <c:order val="4"/>
          <c:tx>
            <c:v>1T theo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'Sum''ry'!$B$19:$B$20</c:f>
              <c:numCache/>
            </c:numRef>
          </c:xVal>
          <c:yVal>
            <c:numRef>
              <c:f>'Sum''ry'!$E$19:$E$20</c:f>
              <c:numCache/>
            </c:numRef>
          </c:yVal>
          <c:smooth val="1"/>
        </c:ser>
        <c:ser>
          <c:idx val="4"/>
          <c:order val="5"/>
          <c:tx>
            <c:v>2T theo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'Sum''ry'!$B$21:$B$22</c:f>
              <c:numCache/>
            </c:numRef>
          </c:xVal>
          <c:yVal>
            <c:numRef>
              <c:f>'Sum''ry'!$E$21:$E$22</c:f>
              <c:numCache/>
            </c:numRef>
          </c:yVal>
          <c:smooth val="1"/>
        </c:ser>
        <c:ser>
          <c:idx val="6"/>
          <c:order val="6"/>
          <c:tx>
            <c:v>3.08T theo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'Sum''ry'!$B$23:$B$24</c:f>
              <c:numCache/>
            </c:numRef>
          </c:xVal>
          <c:yVal>
            <c:numRef>
              <c:f>'Sum''ry'!$E$23:$E$24</c:f>
              <c:numCache/>
            </c:numRef>
          </c:yVal>
          <c:smooth val="1"/>
        </c:ser>
        <c:ser>
          <c:idx val="7"/>
          <c:order val="7"/>
          <c:tx>
            <c:v>4T theo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'Sum''ry'!$B$25:$B$26</c:f>
              <c:numCache/>
            </c:numRef>
          </c:xVal>
          <c:yVal>
            <c:numRef>
              <c:f>'Sum''ry'!$E$25:$E$26</c:f>
              <c:numCache/>
            </c:numRef>
          </c:yVal>
          <c:smooth val="1"/>
        </c:ser>
        <c:axId val="51328213"/>
        <c:axId val="59300734"/>
      </c:scatterChart>
      <c:valAx>
        <c:axId val="51328213"/>
        <c:scaling>
          <c:orientation val="minMax"/>
          <c:max val="4.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Ramp rate T/s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300734"/>
        <c:crosses val="autoZero"/>
        <c:crossBetween val="midCat"/>
        <c:dispUnits/>
        <c:majorUnit val="1"/>
      </c:valAx>
      <c:valAx>
        <c:axId val="59300734"/>
        <c:scaling>
          <c:orientation val="minMax"/>
          <c:max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Loss/cycle 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1328213"/>
        <c:crosses val="autoZero"/>
        <c:crossBetween val="midCat"/>
        <c:dispUnits/>
        <c:majorUnit val="4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775"/>
          <c:y val="0.046"/>
          <c:w val="0.379"/>
          <c:h val="0.197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"/>
          <c:w val="0.95"/>
          <c:h val="0.972"/>
        </c:manualLayout>
      </c:layout>
      <c:scatterChart>
        <c:scatterStyle val="lineMarker"/>
        <c:varyColors val="0"/>
        <c:ser>
          <c:idx val="0"/>
          <c:order val="0"/>
          <c:tx>
            <c:v>experiment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expt!$L$58:$L$65</c:f>
                <c:numCache>
                  <c:ptCount val="8"/>
                  <c:pt idx="0">
                    <c:v>0.08502674368715066</c:v>
                  </c:pt>
                  <c:pt idx="1">
                    <c:v>0.08390816374469848</c:v>
                  </c:pt>
                  <c:pt idx="2">
                    <c:v>0.20425314729464508</c:v>
                  </c:pt>
                  <c:pt idx="3">
                    <c:v>0.3107512049396219</c:v>
                  </c:pt>
                  <c:pt idx="4">
                    <c:v>0.40675461424420517</c:v>
                  </c:pt>
                  <c:pt idx="5">
                    <c:v>0.8676232220536881</c:v>
                  </c:pt>
                  <c:pt idx="6">
                    <c:v>0.841538467283269</c:v>
                  </c:pt>
                  <c:pt idx="7">
                    <c:v>1.0768980260454508</c:v>
                  </c:pt>
                </c:numCache>
              </c:numRef>
            </c:plus>
            <c:minus>
              <c:numRef>
                <c:f>expt!$L$58:$L$65</c:f>
                <c:numCache>
                  <c:ptCount val="8"/>
                  <c:pt idx="0">
                    <c:v>0.08502674368715066</c:v>
                  </c:pt>
                  <c:pt idx="1">
                    <c:v>0.08390816374469848</c:v>
                  </c:pt>
                  <c:pt idx="2">
                    <c:v>0.20425314729464508</c:v>
                  </c:pt>
                  <c:pt idx="3">
                    <c:v>0.3107512049396219</c:v>
                  </c:pt>
                  <c:pt idx="4">
                    <c:v>0.40675461424420517</c:v>
                  </c:pt>
                  <c:pt idx="5">
                    <c:v>0.8676232220536881</c:v>
                  </c:pt>
                  <c:pt idx="6">
                    <c:v>0.841538467283269</c:v>
                  </c:pt>
                  <c:pt idx="7">
                    <c:v>1.0768980260454508</c:v>
                  </c:pt>
                </c:numCache>
              </c:numRef>
            </c:minus>
            <c:noEndCap val="0"/>
            <c:spPr>
              <a:ln w="12700">
                <a:solidFill>
                  <a:srgbClr val="FF00FF"/>
                </a:solidFill>
              </a:ln>
            </c:spPr>
          </c:errBars>
          <c:xVal>
            <c:numRef>
              <c:f>expt!$J$58:$J$65</c:f>
              <c:numCache>
                <c:ptCount val="8"/>
                <c:pt idx="0">
                  <c:v>0.31</c:v>
                </c:pt>
                <c:pt idx="1">
                  <c:v>0.67</c:v>
                </c:pt>
                <c:pt idx="2">
                  <c:v>1</c:v>
                </c:pt>
                <c:pt idx="3">
                  <c:v>1.9</c:v>
                </c:pt>
                <c:pt idx="4">
                  <c:v>2</c:v>
                </c:pt>
                <c:pt idx="5">
                  <c:v>3.08</c:v>
                </c:pt>
                <c:pt idx="6">
                  <c:v>3.6</c:v>
                </c:pt>
                <c:pt idx="7">
                  <c:v>4</c:v>
                </c:pt>
              </c:numCache>
            </c:numRef>
          </c:xVal>
          <c:yVal>
            <c:numRef>
              <c:f>expt!$K$58:$K$65</c:f>
              <c:numCache>
                <c:ptCount val="8"/>
                <c:pt idx="0">
                  <c:v>0.7623392120982206</c:v>
                </c:pt>
                <c:pt idx="1">
                  <c:v>4.101984188667589</c:v>
                </c:pt>
                <c:pt idx="2">
                  <c:v>2.6078500633863637</c:v>
                </c:pt>
                <c:pt idx="3">
                  <c:v>9.722565403508517</c:v>
                </c:pt>
                <c:pt idx="4">
                  <c:v>8.466447297653893</c:v>
                </c:pt>
                <c:pt idx="5">
                  <c:v>16.104430827492042</c:v>
                </c:pt>
                <c:pt idx="6">
                  <c:v>23.968797053881936</c:v>
                </c:pt>
                <c:pt idx="7">
                  <c:v>26.32301210900154</c:v>
                </c:pt>
              </c:numCache>
            </c:numRef>
          </c:yVal>
          <c:smooth val="0"/>
        </c:ser>
        <c:ser>
          <c:idx val="2"/>
          <c:order val="1"/>
          <c:tx>
            <c:v>theory GSI-4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('Sum''ry'!$A$16,'Sum''ry'!$A$18,'Sum''ry'!$A$20,'Sum''ry'!$A$22,'Sum''ry'!$A$24,'Sum''ry'!$A$26)</c:f>
              <c:numCache/>
            </c:numRef>
          </c:xVal>
          <c:yVal>
            <c:numRef>
              <c:f>('Sum''ry'!$F$16,'Sum''ry'!$F$18,'Sum''ry'!$F$20,'Sum''ry'!$F$22,'Sum''ry'!$F$24,'Sum''ry'!$F$26)</c:f>
              <c:numCache/>
            </c:numRef>
          </c:yVal>
          <c:smooth val="1"/>
        </c:ser>
        <c:axId val="63944559"/>
        <c:axId val="38630120"/>
      </c:scatterChart>
      <c:valAx>
        <c:axId val="63944559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max B (T)</a:t>
                </a:r>
              </a:p>
            </c:rich>
          </c:tx>
          <c:layout>
            <c:manualLayout>
              <c:xMode val="factor"/>
              <c:yMode val="factor"/>
              <c:x val="0.01075"/>
              <c:y val="0.03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30120"/>
        <c:crosses val="autoZero"/>
        <c:crossBetween val="midCat"/>
        <c:dispUnits/>
        <c:majorUnit val="1"/>
      </c:valAx>
      <c:valAx>
        <c:axId val="38630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loss per cycle / B`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3944559"/>
        <c:crosses val="autoZero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08875"/>
          <c:w val="0.1985"/>
          <c:h val="0.150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"/>
          <c:w val="0.9435"/>
          <c:h val="0.97075"/>
        </c:manualLayout>
      </c:layout>
      <c:scatterChart>
        <c:scatterStyle val="lineMarker"/>
        <c:varyColors val="0"/>
        <c:ser>
          <c:idx val="1"/>
          <c:order val="0"/>
          <c:tx>
            <c:v>fitted to experiment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expt!$L$72:$L$79</c:f>
                <c:numCache>
                  <c:ptCount val="8"/>
                  <c:pt idx="0">
                    <c:v>0.2</c:v>
                  </c:pt>
                  <c:pt idx="1">
                    <c:v>0.1938204140279094</c:v>
                  </c:pt>
                  <c:pt idx="2">
                    <c:v>0.5781798931421446</c:v>
                  </c:pt>
                  <c:pt idx="3">
                    <c:v>0.38903303178324156</c:v>
                  </c:pt>
                  <c:pt idx="4">
                    <c:v>1.2108321161966666</c:v>
                  </c:pt>
                  <c:pt idx="5">
                    <c:v>1.267284473966957</c:v>
                  </c:pt>
                  <c:pt idx="6">
                    <c:v>1.5700313258759975</c:v>
                  </c:pt>
                  <c:pt idx="7">
                    <c:v>2.2631123166144804</c:v>
                  </c:pt>
                </c:numCache>
              </c:numRef>
            </c:plus>
            <c:minus>
              <c:numRef>
                <c:f>expt!$L$72:$L$79</c:f>
                <c:numCache>
                  <c:ptCount val="8"/>
                  <c:pt idx="0">
                    <c:v>0.2</c:v>
                  </c:pt>
                  <c:pt idx="1">
                    <c:v>0.1938204140279094</c:v>
                  </c:pt>
                  <c:pt idx="2">
                    <c:v>0.5781798931421446</c:v>
                  </c:pt>
                  <c:pt idx="3">
                    <c:v>0.38903303178324156</c:v>
                  </c:pt>
                  <c:pt idx="4">
                    <c:v>1.2108321161966666</c:v>
                  </c:pt>
                  <c:pt idx="5">
                    <c:v>1.267284473966957</c:v>
                  </c:pt>
                  <c:pt idx="6">
                    <c:v>1.5700313258759975</c:v>
                  </c:pt>
                  <c:pt idx="7">
                    <c:v>2.2631123166144804</c:v>
                  </c:pt>
                </c:numCache>
              </c:numRef>
            </c:minus>
            <c:noEndCap val="0"/>
            <c:spPr>
              <a:ln w="12700">
                <a:solidFill>
                  <a:srgbClr val="FF00FF"/>
                </a:solidFill>
              </a:ln>
            </c:spPr>
          </c:errBars>
          <c:xVal>
            <c:numRef>
              <c:f>expt!$J$72:$J$79</c:f>
              <c:numCache>
                <c:ptCount val="8"/>
                <c:pt idx="0">
                  <c:v>0.31</c:v>
                </c:pt>
                <c:pt idx="1">
                  <c:v>0.67</c:v>
                </c:pt>
                <c:pt idx="2">
                  <c:v>1</c:v>
                </c:pt>
                <c:pt idx="3">
                  <c:v>1.9</c:v>
                </c:pt>
                <c:pt idx="4">
                  <c:v>2</c:v>
                </c:pt>
                <c:pt idx="5">
                  <c:v>3.08</c:v>
                </c:pt>
                <c:pt idx="6">
                  <c:v>3.6</c:v>
                </c:pt>
                <c:pt idx="7">
                  <c:v>4</c:v>
                </c:pt>
              </c:numCache>
            </c:numRef>
          </c:xVal>
          <c:yVal>
            <c:numRef>
              <c:f>expt!$K$72:$K$79</c:f>
              <c:numCache>
                <c:ptCount val="8"/>
                <c:pt idx="0">
                  <c:v>4.41993171911628</c:v>
                </c:pt>
                <c:pt idx="1">
                  <c:v>5.603777233357124</c:v>
                </c:pt>
                <c:pt idx="2">
                  <c:v>16.37115936959671</c:v>
                </c:pt>
                <c:pt idx="3">
                  <c:v>17.562982344530965</c:v>
                </c:pt>
                <c:pt idx="4">
                  <c:v>20.574541093672742</c:v>
                </c:pt>
                <c:pt idx="5">
                  <c:v>30.543406918793924</c:v>
                </c:pt>
                <c:pt idx="6">
                  <c:v>35.85611475047456</c:v>
                </c:pt>
                <c:pt idx="7">
                  <c:v>43.22527295432219</c:v>
                </c:pt>
              </c:numCache>
            </c:numRef>
          </c:yVal>
          <c:smooth val="0"/>
        </c:ser>
        <c:ser>
          <c:idx val="0"/>
          <c:order val="1"/>
          <c:tx>
            <c:v>no transport current correction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'Sum''ry'!$A$44:$A$49</c:f>
              <c:numCache/>
            </c:numRef>
          </c:xVal>
          <c:yVal>
            <c:numRef>
              <c:f>'Sum''ry'!$B$44:$B$49</c:f>
              <c:numCache/>
            </c:numRef>
          </c:yVal>
          <c:smooth val="1"/>
        </c:ser>
        <c:ser>
          <c:idx val="2"/>
          <c:order val="2"/>
          <c:tx>
            <c:v>with transport current correction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'Sum''ry'!$A$44:$A$49</c:f>
              <c:numCache/>
            </c:numRef>
          </c:xVal>
          <c:yVal>
            <c:numRef>
              <c:f>'Sum''ry'!$C$44:$C$49</c:f>
              <c:numCache/>
            </c:numRef>
          </c:yVal>
          <c:smooth val="0"/>
        </c:ser>
        <c:ser>
          <c:idx val="3"/>
          <c:order val="3"/>
          <c:tx>
            <c:v>total with iron + transp correction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'Sum''ry'!$A$44:$A$49</c:f>
              <c:numCache/>
            </c:numRef>
          </c:xVal>
          <c:yVal>
            <c:numRef>
              <c:f>'Sum''ry'!$E$44:$E$49</c:f>
              <c:numCache/>
            </c:numRef>
          </c:yVal>
          <c:smooth val="1"/>
        </c:ser>
        <c:ser>
          <c:idx val="4"/>
          <c:order val="4"/>
          <c:tx>
            <c:v>total but using 'RHIC wire' Jc(B) data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'Sum''ry'!$A$56:$A$61</c:f>
              <c:numCache/>
            </c:numRef>
          </c:xVal>
          <c:yVal>
            <c:numRef>
              <c:f>'Sum''ry'!$E$56:$E$61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14.873125912982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axId val="12126761"/>
        <c:axId val="42031986"/>
      </c:scatterChart>
      <c:valAx>
        <c:axId val="12126761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max B (T)</a:t>
                </a:r>
              </a:p>
            </c:rich>
          </c:tx>
          <c:layout>
            <c:manualLayout>
              <c:xMode val="factor"/>
              <c:yMode val="factor"/>
              <c:x val="0.00975"/>
              <c:y val="0.03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31986"/>
        <c:crosses val="autoZero"/>
        <c:crossBetween val="midCat"/>
        <c:dispUnits/>
        <c:majorUnit val="1"/>
      </c:valAx>
      <c:valAx>
        <c:axId val="42031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 hysteresis loss per cycle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2126761"/>
        <c:crosses val="autoZero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95"/>
          <c:y val="0.03525"/>
          <c:w val="0.50425"/>
          <c:h val="0.229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"/>
          <c:w val="0.968"/>
          <c:h val="0.9725"/>
        </c:manualLayout>
      </c:layout>
      <c:scatterChart>
        <c:scatterStyle val="smoothMarker"/>
        <c:varyColors val="0"/>
        <c:ser>
          <c:idx val="0"/>
          <c:order val="0"/>
          <c:tx>
            <c:v>1T expt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expt!$G$7:$G$20</c:f>
              <c:numCache/>
            </c:numRef>
          </c:xVal>
          <c:yVal>
            <c:numRef>
              <c:f>expt!$H$7:$H$20</c:f>
              <c:numCache/>
            </c:numRef>
          </c:yVal>
          <c:smooth val="1"/>
        </c:ser>
        <c:ser>
          <c:idx val="2"/>
          <c:order val="1"/>
          <c:tx>
            <c:v>2T expt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expt!$M$7:$M$25</c:f>
              <c:numCache/>
            </c:numRef>
          </c:xVal>
          <c:yVal>
            <c:numRef>
              <c:f>expt!$N$7:$N$25</c:f>
              <c:numCache/>
            </c:numRef>
          </c:yVal>
          <c:smooth val="1"/>
        </c:ser>
        <c:ser>
          <c:idx val="3"/>
          <c:order val="2"/>
          <c:tx>
            <c:v>3.08T expt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expt!$A$18:$A$87</c:f>
              <c:numCache/>
            </c:numRef>
          </c:xVal>
          <c:yVal>
            <c:numRef>
              <c:f>expt!$B$18:$B$87</c:f>
              <c:numCache/>
            </c:numRef>
          </c:yVal>
          <c:smooth val="1"/>
        </c:ser>
        <c:ser>
          <c:idx val="5"/>
          <c:order val="3"/>
          <c:tx>
            <c:v>4T expt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expt!$G$26:$G$85</c:f>
              <c:numCache/>
            </c:numRef>
          </c:xVal>
          <c:yVal>
            <c:numRef>
              <c:f>expt!$H$26:$H$85</c:f>
              <c:numCache/>
            </c:numRef>
          </c:yVal>
          <c:smooth val="1"/>
        </c:ser>
        <c:axId val="42743555"/>
        <c:axId val="49147676"/>
      </c:scatterChart>
      <c:valAx>
        <c:axId val="42743555"/>
        <c:scaling>
          <c:orientation val="minMax"/>
          <c:max val="4.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Ramp rate T/s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147676"/>
        <c:crosses val="autoZero"/>
        <c:crossBetween val="midCat"/>
        <c:dispUnits/>
        <c:majorUnit val="1"/>
      </c:valAx>
      <c:valAx>
        <c:axId val="49147676"/>
        <c:scaling>
          <c:orientation val="minMax"/>
          <c:max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Loss/cycle 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743555"/>
        <c:crosses val="autoZero"/>
        <c:crossBetween val="midCat"/>
        <c:dispUnits/>
        <c:majorUnit val="4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65"/>
          <c:y val="0.04325"/>
          <c:w val="0.50625"/>
          <c:h val="0.2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5"/>
          <c:y val="0.03125"/>
          <c:w val="0.9135"/>
          <c:h val="0.91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expt!$J$58:$J$65</c:f>
              <c:numCache/>
            </c:numRef>
          </c:xVal>
          <c:yVal>
            <c:numRef>
              <c:f>expt!$K$58:$K$65</c:f>
              <c:numCache/>
            </c:numRef>
          </c:yVal>
          <c:smooth val="0"/>
        </c:ser>
        <c:axId val="39675901"/>
        <c:axId val="21538790"/>
      </c:scatterChart>
      <c:valAx>
        <c:axId val="39675901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max B 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538790"/>
        <c:crosses val="autoZero"/>
        <c:crossBetween val="midCat"/>
        <c:dispUnits/>
      </c:valAx>
      <c:valAx>
        <c:axId val="21538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loss per cycle / B`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675901"/>
        <c:crosses val="autoZero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55"/>
          <c:y val="0.1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5"/>
          <c:y val="0"/>
          <c:w val="0.9185"/>
          <c:h val="0.94625"/>
        </c:manualLayout>
      </c:layout>
      <c:scatterChart>
        <c:scatterStyle val="lineMarker"/>
        <c:varyColors val="0"/>
        <c:ser>
          <c:idx val="1"/>
          <c:order val="0"/>
          <c:tx>
            <c:v>expt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expt!$L$72:$L$79</c:f>
                <c:numCache>
                  <c:ptCount val="8"/>
                  <c:pt idx="0">
                    <c:v>0.2</c:v>
                  </c:pt>
                  <c:pt idx="1">
                    <c:v>0.1938204140279094</c:v>
                  </c:pt>
                  <c:pt idx="2">
                    <c:v>0.5781798931421446</c:v>
                  </c:pt>
                  <c:pt idx="3">
                    <c:v>0.38903303178324156</c:v>
                  </c:pt>
                  <c:pt idx="4">
                    <c:v>1.2108321161966666</c:v>
                  </c:pt>
                  <c:pt idx="5">
                    <c:v>1.267284473966957</c:v>
                  </c:pt>
                  <c:pt idx="6">
                    <c:v>1.5700313258759975</c:v>
                  </c:pt>
                  <c:pt idx="7">
                    <c:v>2.2631123166144804</c:v>
                  </c:pt>
                </c:numCache>
              </c:numRef>
            </c:plus>
            <c:minus>
              <c:numRef>
                <c:f>expt!$L$72:$L$79</c:f>
                <c:numCache>
                  <c:ptCount val="8"/>
                  <c:pt idx="0">
                    <c:v>0.2</c:v>
                  </c:pt>
                  <c:pt idx="1">
                    <c:v>0.1938204140279094</c:v>
                  </c:pt>
                  <c:pt idx="2">
                    <c:v>0.5781798931421446</c:v>
                  </c:pt>
                  <c:pt idx="3">
                    <c:v>0.38903303178324156</c:v>
                  </c:pt>
                  <c:pt idx="4">
                    <c:v>1.2108321161966666</c:v>
                  </c:pt>
                  <c:pt idx="5">
                    <c:v>1.267284473966957</c:v>
                  </c:pt>
                  <c:pt idx="6">
                    <c:v>1.5700313258759975</c:v>
                  </c:pt>
                  <c:pt idx="7">
                    <c:v>2.2631123166144804</c:v>
                  </c:pt>
                </c:numCache>
              </c:numRef>
            </c:minus>
            <c:noEndCap val="0"/>
            <c:spPr>
              <a:ln w="12700">
                <a:solidFill>
                  <a:srgbClr val="FF00FF"/>
                </a:solidFill>
              </a:ln>
            </c:spPr>
          </c:errBars>
          <c:xVal>
            <c:numRef>
              <c:f>expt!$J$72:$J$79</c:f>
              <c:numCache/>
            </c:numRef>
          </c:xVal>
          <c:yVal>
            <c:numRef>
              <c:f>expt!$K$72:$K$79</c:f>
              <c:numCache/>
            </c:numRef>
          </c:yVal>
          <c:smooth val="0"/>
        </c:ser>
        <c:axId val="59631383"/>
        <c:axId val="66920400"/>
      </c:scatterChart>
      <c:valAx>
        <c:axId val="59631383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max B 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920400"/>
        <c:crosses val="autoZero"/>
        <c:crossBetween val="midCat"/>
        <c:dispUnits/>
      </c:valAx>
      <c:valAx>
        <c:axId val="66920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hysteresis loss per cycle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631383"/>
        <c:crosses val="autoZero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15"/>
          <c:y val="0.2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7.emf" /><Relationship Id="rId3" Type="http://schemas.openxmlformats.org/officeDocument/2006/relationships/image" Target="../media/image6.emf" /><Relationship Id="rId4" Type="http://schemas.openxmlformats.org/officeDocument/2006/relationships/image" Target="../media/image8.png" /><Relationship Id="rId5" Type="http://schemas.openxmlformats.org/officeDocument/2006/relationships/image" Target="../media/image12.emf" /><Relationship Id="rId6" Type="http://schemas.openxmlformats.org/officeDocument/2006/relationships/image" Target="../media/image11.emf" /><Relationship Id="rId7" Type="http://schemas.openxmlformats.org/officeDocument/2006/relationships/image" Target="../media/image13.emf" /><Relationship Id="rId8" Type="http://schemas.openxmlformats.org/officeDocument/2006/relationships/image" Target="../media/image1.emf" /><Relationship Id="rId9" Type="http://schemas.openxmlformats.org/officeDocument/2006/relationships/image" Target="../media/image2.emf" /><Relationship Id="rId10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19050</xdr:rowOff>
    </xdr:from>
    <xdr:to>
      <xdr:col>16</xdr:col>
      <xdr:colOff>485775</xdr:colOff>
      <xdr:row>20</xdr:row>
      <xdr:rowOff>47625</xdr:rowOff>
    </xdr:to>
    <xdr:graphicFrame>
      <xdr:nvGraphicFramePr>
        <xdr:cNvPr id="1" name="Chart 7"/>
        <xdr:cNvGraphicFramePr/>
      </xdr:nvGraphicFramePr>
      <xdr:xfrm>
        <a:off x="3124200" y="19050"/>
        <a:ext cx="55911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20</xdr:row>
      <xdr:rowOff>9525</xdr:rowOff>
    </xdr:from>
    <xdr:to>
      <xdr:col>16</xdr:col>
      <xdr:colOff>504825</xdr:colOff>
      <xdr:row>37</xdr:row>
      <xdr:rowOff>133350</xdr:rowOff>
    </xdr:to>
    <xdr:graphicFrame>
      <xdr:nvGraphicFramePr>
        <xdr:cNvPr id="2" name="Chart 8"/>
        <xdr:cNvGraphicFramePr/>
      </xdr:nvGraphicFramePr>
      <xdr:xfrm>
        <a:off x="3133725" y="3790950"/>
        <a:ext cx="560070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466725</xdr:colOff>
      <xdr:row>39</xdr:row>
      <xdr:rowOff>0</xdr:rowOff>
    </xdr:from>
    <xdr:to>
      <xdr:col>16</xdr:col>
      <xdr:colOff>466725</xdr:colOff>
      <xdr:row>57</xdr:row>
      <xdr:rowOff>57150</xdr:rowOff>
    </xdr:to>
    <xdr:graphicFrame>
      <xdr:nvGraphicFramePr>
        <xdr:cNvPr id="3" name="Chart 9"/>
        <xdr:cNvGraphicFramePr/>
      </xdr:nvGraphicFramePr>
      <xdr:xfrm>
        <a:off x="3038475" y="6858000"/>
        <a:ext cx="5657850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5</xdr:row>
      <xdr:rowOff>0</xdr:rowOff>
    </xdr:from>
    <xdr:to>
      <xdr:col>25</xdr:col>
      <xdr:colOff>66675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6419850" y="857250"/>
        <a:ext cx="61626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257175</xdr:colOff>
      <xdr:row>54</xdr:row>
      <xdr:rowOff>28575</xdr:rowOff>
    </xdr:from>
    <xdr:to>
      <xdr:col>21</xdr:col>
      <xdr:colOff>152400</xdr:colOff>
      <xdr:row>72</xdr:row>
      <xdr:rowOff>85725</xdr:rowOff>
    </xdr:to>
    <xdr:graphicFrame>
      <xdr:nvGraphicFramePr>
        <xdr:cNvPr id="2" name="Chart 2"/>
        <xdr:cNvGraphicFramePr/>
      </xdr:nvGraphicFramePr>
      <xdr:xfrm>
        <a:off x="6067425" y="9363075"/>
        <a:ext cx="416242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285750</xdr:colOff>
      <xdr:row>74</xdr:row>
      <xdr:rowOff>19050</xdr:rowOff>
    </xdr:from>
    <xdr:to>
      <xdr:col>21</xdr:col>
      <xdr:colOff>190500</xdr:colOff>
      <xdr:row>93</xdr:row>
      <xdr:rowOff>76200</xdr:rowOff>
    </xdr:to>
    <xdr:graphicFrame>
      <xdr:nvGraphicFramePr>
        <xdr:cNvPr id="3" name="Chart 3"/>
        <xdr:cNvGraphicFramePr/>
      </xdr:nvGraphicFramePr>
      <xdr:xfrm>
        <a:off x="6096000" y="12744450"/>
        <a:ext cx="4171950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457200</xdr:colOff>
      <xdr:row>13</xdr:row>
      <xdr:rowOff>161925</xdr:rowOff>
    </xdr:from>
    <xdr:to>
      <xdr:col>14</xdr:col>
      <xdr:colOff>85725</xdr:colOff>
      <xdr:row>15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3067050"/>
          <a:ext cx="2209800" cy="4381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495300</xdr:colOff>
      <xdr:row>11</xdr:row>
      <xdr:rowOff>38100</xdr:rowOff>
    </xdr:from>
    <xdr:to>
      <xdr:col>18</xdr:col>
      <xdr:colOff>0</xdr:colOff>
      <xdr:row>13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2505075"/>
          <a:ext cx="39814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14</xdr:col>
      <xdr:colOff>190500</xdr:colOff>
      <xdr:row>13</xdr:row>
      <xdr:rowOff>161925</xdr:rowOff>
    </xdr:from>
    <xdr:to>
      <xdr:col>17</xdr:col>
      <xdr:colOff>428625</xdr:colOff>
      <xdr:row>15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77075" y="3067050"/>
          <a:ext cx="16287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38100</xdr:colOff>
      <xdr:row>18</xdr:row>
      <xdr:rowOff>38100</xdr:rowOff>
    </xdr:from>
    <xdr:to>
      <xdr:col>12</xdr:col>
      <xdr:colOff>57150</xdr:colOff>
      <xdr:row>20</xdr:row>
      <xdr:rowOff>171450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95850" y="4019550"/>
          <a:ext cx="1038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1</xdr:row>
      <xdr:rowOff>47625</xdr:rowOff>
    </xdr:from>
    <xdr:to>
      <xdr:col>17</xdr:col>
      <xdr:colOff>428625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15200" y="257175"/>
          <a:ext cx="1390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438150</xdr:colOff>
      <xdr:row>3</xdr:row>
      <xdr:rowOff>123825</xdr:rowOff>
    </xdr:from>
    <xdr:to>
      <xdr:col>14</xdr:col>
      <xdr:colOff>333375</xdr:colOff>
      <xdr:row>5</xdr:row>
      <xdr:rowOff>133350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95900" y="819150"/>
          <a:ext cx="192405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9525</xdr:colOff>
      <xdr:row>6</xdr:row>
      <xdr:rowOff>47625</xdr:rowOff>
    </xdr:from>
    <xdr:to>
      <xdr:col>13</xdr:col>
      <xdr:colOff>104775</xdr:colOff>
      <xdr:row>8</xdr:row>
      <xdr:rowOff>76200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14950" y="1447800"/>
          <a:ext cx="11525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15</xdr:col>
      <xdr:colOff>447675</xdr:colOff>
      <xdr:row>15</xdr:row>
      <xdr:rowOff>209550</xdr:rowOff>
    </xdr:from>
    <xdr:to>
      <xdr:col>17</xdr:col>
      <xdr:colOff>352425</xdr:colOff>
      <xdr:row>17</xdr:row>
      <xdr:rowOff>171450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10500" y="3533775"/>
          <a:ext cx="81915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219075</xdr:colOff>
      <xdr:row>16</xdr:row>
      <xdr:rowOff>57150</xdr:rowOff>
    </xdr:from>
    <xdr:to>
      <xdr:col>15</xdr:col>
      <xdr:colOff>247650</xdr:colOff>
      <xdr:row>18</xdr:row>
      <xdr:rowOff>57150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76825" y="3590925"/>
          <a:ext cx="253365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304800</xdr:colOff>
      <xdr:row>8</xdr:row>
      <xdr:rowOff>114300</xdr:rowOff>
    </xdr:from>
    <xdr:to>
      <xdr:col>17</xdr:col>
      <xdr:colOff>400050</xdr:colOff>
      <xdr:row>10</xdr:row>
      <xdr:rowOff>200025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162550" y="1933575"/>
          <a:ext cx="3514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G69"/>
  <sheetViews>
    <sheetView workbookViewId="0" topLeftCell="A24">
      <selection activeCell="A28" sqref="A28"/>
    </sheetView>
  </sheetViews>
  <sheetFormatPr defaultColWidth="9.140625" defaultRowHeight="12.75"/>
  <cols>
    <col min="1" max="1" width="7.7109375" style="22" customWidth="1"/>
    <col min="2" max="2" width="7.7109375" style="24" customWidth="1"/>
    <col min="3" max="3" width="7.7109375" style="0" customWidth="1"/>
    <col min="4" max="4" width="7.7109375" style="24" customWidth="1"/>
    <col min="5" max="6" width="7.7109375" style="28" customWidth="1"/>
    <col min="7" max="16384" width="7.7109375" style="0" customWidth="1"/>
  </cols>
  <sheetData>
    <row r="1" ht="16.5">
      <c r="A1" s="1" t="s">
        <v>209</v>
      </c>
    </row>
    <row r="2" ht="6.75" customHeight="1">
      <c r="A2" s="1"/>
    </row>
    <row r="3" ht="12.75">
      <c r="A3" s="21" t="s">
        <v>200</v>
      </c>
    </row>
    <row r="4" ht="12.75">
      <c r="A4" s="21"/>
    </row>
    <row r="5" ht="12.75">
      <c r="A5" s="21" t="s">
        <v>104</v>
      </c>
    </row>
    <row r="6" ht="12.75">
      <c r="A6" s="25" t="s">
        <v>105</v>
      </c>
    </row>
    <row r="7" spans="1:7" ht="12.75">
      <c r="A7" t="s">
        <v>100</v>
      </c>
      <c r="B7" s="24">
        <v>-1.5115384925225488</v>
      </c>
      <c r="E7" s="35"/>
      <c r="F7" s="35"/>
      <c r="G7" s="35"/>
    </row>
    <row r="8" spans="1:7" ht="12.75">
      <c r="A8" t="s">
        <v>101</v>
      </c>
      <c r="B8" s="24">
        <v>1.6956999479606343</v>
      </c>
      <c r="E8" s="35"/>
      <c r="F8" s="35"/>
      <c r="G8" s="35"/>
    </row>
    <row r="9" spans="1:7" ht="12.75">
      <c r="A9" t="s">
        <v>102</v>
      </c>
      <c r="B9" s="24">
        <v>1.5358450022966983</v>
      </c>
      <c r="E9" s="35"/>
      <c r="F9" s="35"/>
      <c r="G9" s="35"/>
    </row>
    <row r="10" spans="1:7" ht="12.75">
      <c r="A10" t="s">
        <v>103</v>
      </c>
      <c r="B10" s="24">
        <v>-1.503005886832788</v>
      </c>
      <c r="E10" s="35"/>
      <c r="F10" s="35"/>
      <c r="G10" s="35"/>
    </row>
    <row r="12" ht="15" customHeight="1">
      <c r="A12" s="21" t="s">
        <v>206</v>
      </c>
    </row>
    <row r="13" spans="1:6" s="32" customFormat="1" ht="38.25" customHeight="1">
      <c r="A13" s="140" t="s">
        <v>88</v>
      </c>
      <c r="B13" s="26" t="s">
        <v>54</v>
      </c>
      <c r="C13" s="26" t="s">
        <v>185</v>
      </c>
      <c r="D13" s="42" t="s">
        <v>89</v>
      </c>
      <c r="E13" s="41" t="s">
        <v>184</v>
      </c>
      <c r="F13" s="41" t="s">
        <v>202</v>
      </c>
    </row>
    <row r="14" spans="1:6" s="32" customFormat="1" ht="27.75" customHeight="1">
      <c r="A14" s="140" t="s">
        <v>189</v>
      </c>
      <c r="B14" s="26" t="s">
        <v>53</v>
      </c>
      <c r="C14" s="41" t="s">
        <v>190</v>
      </c>
      <c r="D14" s="41" t="s">
        <v>190</v>
      </c>
      <c r="E14" s="41" t="s">
        <v>190</v>
      </c>
      <c r="F14" s="41" t="s">
        <v>201</v>
      </c>
    </row>
    <row r="15" spans="1:5" ht="8.25" customHeight="1">
      <c r="A15" s="25"/>
      <c r="B15" s="26"/>
      <c r="C15" s="26"/>
      <c r="E15" s="41"/>
    </row>
    <row r="16" spans="1:6" ht="15" customHeight="1">
      <c r="A16" s="25">
        <v>0</v>
      </c>
      <c r="B16" s="26">
        <v>0</v>
      </c>
      <c r="C16" s="26">
        <v>0</v>
      </c>
      <c r="E16" s="41">
        <v>0</v>
      </c>
      <c r="F16" s="28">
        <v>0</v>
      </c>
    </row>
    <row r="17" spans="1:5" ht="15" customHeight="1">
      <c r="A17" s="25">
        <v>0.5</v>
      </c>
      <c r="B17" s="24">
        <v>0</v>
      </c>
      <c r="C17" s="26" t="e">
        <f>#REF!</f>
        <v>#REF!</v>
      </c>
      <c r="D17" s="24">
        <f aca="true" t="shared" si="0" ref="D17:D26">B$7+B$8*A17+B$9*EXP(B$10*A17)</f>
        <v>0.06070375159113972</v>
      </c>
      <c r="E17" s="24" t="e">
        <f>C17+D17</f>
        <v>#REF!</v>
      </c>
    </row>
    <row r="18" spans="1:6" ht="15" customHeight="1">
      <c r="A18" s="25">
        <v>0.5</v>
      </c>
      <c r="B18" s="24">
        <v>4</v>
      </c>
      <c r="C18" s="26" t="e">
        <f>#REF!</f>
        <v>#REF!</v>
      </c>
      <c r="D18" s="24">
        <f t="shared" si="0"/>
        <v>0.06070375159113972</v>
      </c>
      <c r="E18" s="24" t="e">
        <f>C18+D18</f>
        <v>#REF!</v>
      </c>
      <c r="F18" s="24" t="e">
        <f>(E18-E17)/B18</f>
        <v>#REF!</v>
      </c>
    </row>
    <row r="19" spans="1:6" ht="12.75">
      <c r="A19" s="23">
        <v>1</v>
      </c>
      <c r="B19" s="24">
        <v>0</v>
      </c>
      <c r="C19" s="24" t="e">
        <f>#REF!</f>
        <v>#REF!</v>
      </c>
      <c r="D19" s="24">
        <f t="shared" si="0"/>
        <v>0.5258262459893965</v>
      </c>
      <c r="E19" s="24" t="e">
        <f>C19+D19</f>
        <v>#REF!</v>
      </c>
      <c r="F19" s="24"/>
    </row>
    <row r="20" spans="1:6" ht="12.75">
      <c r="A20" s="23">
        <v>1</v>
      </c>
      <c r="B20" s="24">
        <v>4</v>
      </c>
      <c r="C20" s="24" t="e">
        <f>#REF!</f>
        <v>#REF!</v>
      </c>
      <c r="D20" s="24">
        <f t="shared" si="0"/>
        <v>0.5258262459893965</v>
      </c>
      <c r="E20" s="24" t="e">
        <f aca="true" t="shared" si="1" ref="E20:E26">C20+D20</f>
        <v>#REF!</v>
      </c>
      <c r="F20" s="24" t="e">
        <f>(E20-E19)/B20</f>
        <v>#REF!</v>
      </c>
    </row>
    <row r="21" spans="1:6" ht="12.75">
      <c r="A21" s="23">
        <v>2</v>
      </c>
      <c r="B21" s="24">
        <v>0</v>
      </c>
      <c r="C21" s="24" t="e">
        <f>#REF!</f>
        <v>#REF!</v>
      </c>
      <c r="D21" s="24">
        <f t="shared" si="0"/>
        <v>1.9558683109498765</v>
      </c>
      <c r="E21" s="24" t="e">
        <f t="shared" si="1"/>
        <v>#REF!</v>
      </c>
      <c r="F21" s="24"/>
    </row>
    <row r="22" spans="1:6" ht="12.75">
      <c r="A22" s="23">
        <v>2</v>
      </c>
      <c r="B22" s="24">
        <v>4</v>
      </c>
      <c r="C22" s="24" t="e">
        <f>#REF!</f>
        <v>#REF!</v>
      </c>
      <c r="D22" s="24">
        <f t="shared" si="0"/>
        <v>1.9558683109498765</v>
      </c>
      <c r="E22" s="24" t="e">
        <f t="shared" si="1"/>
        <v>#REF!</v>
      </c>
      <c r="F22" s="24" t="e">
        <f>(E22-E21)/B22</f>
        <v>#REF!</v>
      </c>
    </row>
    <row r="23" spans="1:6" ht="12.75">
      <c r="A23" s="23">
        <v>3.08</v>
      </c>
      <c r="B23" s="24">
        <v>0</v>
      </c>
      <c r="C23" s="24" t="e">
        <f>#REF!</f>
        <v>#REF!</v>
      </c>
      <c r="D23" s="24">
        <f t="shared" si="0"/>
        <v>3.7262102638607697</v>
      </c>
      <c r="E23" s="24" t="e">
        <f t="shared" si="1"/>
        <v>#REF!</v>
      </c>
      <c r="F23" s="24"/>
    </row>
    <row r="24" spans="1:6" ht="12.75">
      <c r="A24" s="23">
        <v>3.08</v>
      </c>
      <c r="B24" s="24">
        <v>4</v>
      </c>
      <c r="C24" s="24" t="e">
        <f>#REF!</f>
        <v>#REF!</v>
      </c>
      <c r="D24" s="24">
        <f t="shared" si="0"/>
        <v>3.7262102638607697</v>
      </c>
      <c r="E24" s="24" t="e">
        <f t="shared" si="1"/>
        <v>#REF!</v>
      </c>
      <c r="F24" s="24" t="e">
        <f>(E24-E23)/B24</f>
        <v>#REF!</v>
      </c>
    </row>
    <row r="25" spans="1:6" ht="12.75">
      <c r="A25" s="23">
        <v>4</v>
      </c>
      <c r="B25" s="24">
        <v>0</v>
      </c>
      <c r="C25" s="24" t="e">
        <f>#REF!</f>
        <v>#REF!</v>
      </c>
      <c r="D25" s="24">
        <f t="shared" si="0"/>
        <v>5.27502277914826</v>
      </c>
      <c r="E25" s="24" t="e">
        <f t="shared" si="1"/>
        <v>#REF!</v>
      </c>
      <c r="F25" s="24"/>
    </row>
    <row r="26" spans="1:6" ht="12.75">
      <c r="A26" s="23">
        <v>4</v>
      </c>
      <c r="B26" s="24">
        <v>4</v>
      </c>
      <c r="C26" s="24" t="e">
        <f>#REF!</f>
        <v>#REF!</v>
      </c>
      <c r="D26" s="24">
        <f t="shared" si="0"/>
        <v>5.27502277914826</v>
      </c>
      <c r="E26" s="24" t="e">
        <f t="shared" si="1"/>
        <v>#REF!</v>
      </c>
      <c r="F26" s="24" t="e">
        <f>(E26-E25)/B26</f>
        <v>#REF!</v>
      </c>
    </row>
    <row r="27" spans="1:6" ht="12.75">
      <c r="A27" s="23"/>
      <c r="C27" s="24"/>
      <c r="E27" s="24"/>
      <c r="F27" s="24"/>
    </row>
    <row r="28" ht="12.75">
      <c r="A28" s="21" t="s">
        <v>191</v>
      </c>
    </row>
    <row r="30" spans="1:6" ht="12.75">
      <c r="A30" s="22">
        <v>1</v>
      </c>
      <c r="B30" s="24">
        <v>0</v>
      </c>
      <c r="C30" s="24">
        <v>14.012768890837087</v>
      </c>
      <c r="D30" s="24">
        <v>0.5258262459893965</v>
      </c>
      <c r="E30" s="24">
        <v>14.538595136826483</v>
      </c>
      <c r="F30" s="24">
        <v>3.0872866038532383</v>
      </c>
    </row>
    <row r="31" spans="1:6" ht="12.75">
      <c r="A31" s="22">
        <v>1</v>
      </c>
      <c r="B31" s="24">
        <v>4</v>
      </c>
      <c r="C31" s="24">
        <v>26.36191530625004</v>
      </c>
      <c r="D31" s="24">
        <v>0.5258262459893965</v>
      </c>
      <c r="E31" s="24">
        <v>26.887741552239437</v>
      </c>
      <c r="F31" s="24"/>
    </row>
    <row r="32" spans="1:6" ht="12.75">
      <c r="A32" s="22">
        <v>2</v>
      </c>
      <c r="B32" s="24">
        <v>0</v>
      </c>
      <c r="C32" s="24">
        <v>20.725033429948436</v>
      </c>
      <c r="D32" s="24">
        <v>1.9558683109498765</v>
      </c>
      <c r="E32" s="24">
        <v>22.680901740898314</v>
      </c>
      <c r="F32" s="24">
        <v>6.177555121527134</v>
      </c>
    </row>
    <row r="33" spans="1:6" ht="12.75">
      <c r="A33" s="22">
        <v>2</v>
      </c>
      <c r="B33" s="24">
        <v>4</v>
      </c>
      <c r="C33" s="24">
        <v>45.43525391605697</v>
      </c>
      <c r="D33" s="24">
        <v>1.9558683109498765</v>
      </c>
      <c r="E33" s="24">
        <v>47.391122227006846</v>
      </c>
      <c r="F33" s="24"/>
    </row>
    <row r="34" spans="1:6" ht="12.75">
      <c r="A34" s="23">
        <v>3.0801090173311025</v>
      </c>
      <c r="B34" s="24">
        <v>0</v>
      </c>
      <c r="C34" s="24">
        <v>26.35583180675049</v>
      </c>
      <c r="D34" s="24">
        <v>3.7263926680999755</v>
      </c>
      <c r="E34" s="24">
        <v>30.082224474850467</v>
      </c>
      <c r="F34" s="24">
        <v>9.512370681872198</v>
      </c>
    </row>
    <row r="35" spans="1:6" ht="12.75">
      <c r="A35" s="23">
        <v>3.0801090173311025</v>
      </c>
      <c r="B35" s="24">
        <v>4</v>
      </c>
      <c r="C35" s="24">
        <v>64.40531453423928</v>
      </c>
      <c r="D35" s="24">
        <v>3.7263926680999755</v>
      </c>
      <c r="E35" s="24">
        <v>68.13170720233926</v>
      </c>
      <c r="F35" s="24"/>
    </row>
    <row r="36" spans="1:6" ht="12.75">
      <c r="A36" s="22">
        <v>4</v>
      </c>
      <c r="B36" s="24">
        <v>0</v>
      </c>
      <c r="C36" s="24">
        <v>30.837825454045422</v>
      </c>
      <c r="D36" s="24">
        <v>5.27502277914826</v>
      </c>
      <c r="E36" s="24">
        <v>36.11284823319368</v>
      </c>
      <c r="F36" s="24">
        <v>12.352648199277274</v>
      </c>
    </row>
    <row r="37" spans="1:6" ht="12.75">
      <c r="A37" s="22">
        <v>4</v>
      </c>
      <c r="B37" s="24">
        <v>4</v>
      </c>
      <c r="C37" s="24">
        <v>80.24841825115452</v>
      </c>
      <c r="D37" s="24">
        <v>5.27502277914826</v>
      </c>
      <c r="E37" s="24">
        <v>85.52344103030278</v>
      </c>
      <c r="F37" s="24"/>
    </row>
    <row r="38" spans="1:6" ht="12.75">
      <c r="A38" s="23"/>
      <c r="C38" s="24"/>
      <c r="E38" s="24"/>
      <c r="F38" s="24"/>
    </row>
    <row r="39" ht="12.75">
      <c r="A39" s="21" t="s">
        <v>207</v>
      </c>
    </row>
    <row r="40" ht="12.75">
      <c r="A40" s="21"/>
    </row>
    <row r="41" spans="1:5" ht="12" customHeight="1">
      <c r="A41" s="22" t="s">
        <v>88</v>
      </c>
      <c r="B41" s="24" t="s">
        <v>192</v>
      </c>
      <c r="C41" t="s">
        <v>194</v>
      </c>
      <c r="D41" s="24" t="s">
        <v>196</v>
      </c>
      <c r="E41" s="28" t="s">
        <v>198</v>
      </c>
    </row>
    <row r="42" spans="1:6" s="32" customFormat="1" ht="25.5" customHeight="1">
      <c r="A42" s="49"/>
      <c r="B42" s="42" t="s">
        <v>193</v>
      </c>
      <c r="C42" s="32" t="s">
        <v>195</v>
      </c>
      <c r="D42" s="42" t="s">
        <v>197</v>
      </c>
      <c r="E42" s="41" t="s">
        <v>199</v>
      </c>
      <c r="F42" s="41"/>
    </row>
    <row r="43" spans="1:5" ht="25.5">
      <c r="A43" s="44" t="s">
        <v>189</v>
      </c>
      <c r="B43" s="42" t="s">
        <v>190</v>
      </c>
      <c r="C43" s="41" t="s">
        <v>190</v>
      </c>
      <c r="D43" s="42" t="s">
        <v>190</v>
      </c>
      <c r="E43" s="41" t="s">
        <v>190</v>
      </c>
    </row>
    <row r="44" spans="1:5" ht="12.75">
      <c r="A44" s="37">
        <v>0</v>
      </c>
      <c r="B44" s="43">
        <v>0</v>
      </c>
      <c r="C44" s="24">
        <v>0</v>
      </c>
      <c r="D44" s="24">
        <v>0</v>
      </c>
      <c r="E44" s="24">
        <f aca="true" t="shared" si="2" ref="E44:E49">C44+D44</f>
        <v>0</v>
      </c>
    </row>
    <row r="45" spans="1:5" ht="12.75">
      <c r="A45" s="37">
        <v>0.5</v>
      </c>
      <c r="B45" s="43" t="e">
        <f>#REF!</f>
        <v>#REF!</v>
      </c>
      <c r="C45" s="24" t="e">
        <f>#REF!</f>
        <v>#REF!</v>
      </c>
      <c r="D45" s="24">
        <f>B$7+B$8*A45+B$9*EXP(B$10*A45)</f>
        <v>0.06070375159113972</v>
      </c>
      <c r="E45" s="24" t="e">
        <f t="shared" si="2"/>
        <v>#REF!</v>
      </c>
    </row>
    <row r="46" spans="1:5" ht="12.75">
      <c r="A46" s="24">
        <f>A45+0.5</f>
        <v>1</v>
      </c>
      <c r="B46" s="24" t="e">
        <f>#REF!</f>
        <v>#REF!</v>
      </c>
      <c r="C46" s="24" t="e">
        <f>#REF!</f>
        <v>#REF!</v>
      </c>
      <c r="D46" s="24">
        <f>B$7+B$8*A46+B$9*EXP(B$10*A46)</f>
        <v>0.5258262459893965</v>
      </c>
      <c r="E46" s="24" t="e">
        <f t="shared" si="2"/>
        <v>#REF!</v>
      </c>
    </row>
    <row r="47" spans="1:5" ht="12.75">
      <c r="A47" s="24">
        <v>2</v>
      </c>
      <c r="B47" s="24" t="e">
        <f>#REF!</f>
        <v>#REF!</v>
      </c>
      <c r="C47" s="24" t="e">
        <f>#REF!</f>
        <v>#REF!</v>
      </c>
      <c r="D47" s="24">
        <f>B$7+B$8*A47+B$9*EXP(B$10*A47)</f>
        <v>1.9558683109498765</v>
      </c>
      <c r="E47" s="24" t="e">
        <f t="shared" si="2"/>
        <v>#REF!</v>
      </c>
    </row>
    <row r="48" spans="1:5" ht="12.75">
      <c r="A48" s="24">
        <v>3.08</v>
      </c>
      <c r="B48" s="24" t="e">
        <f>#REF!</f>
        <v>#REF!</v>
      </c>
      <c r="C48" s="24" t="e">
        <f>#REF!</f>
        <v>#REF!</v>
      </c>
      <c r="D48" s="24">
        <f>B$7+B$8*A48+B$9*EXP(B$10*A48)</f>
        <v>3.7262102638607697</v>
      </c>
      <c r="E48" s="24" t="e">
        <f t="shared" si="2"/>
        <v>#REF!</v>
      </c>
    </row>
    <row r="49" spans="1:5" ht="12.75">
      <c r="A49" s="24">
        <v>4</v>
      </c>
      <c r="B49" s="24" t="e">
        <f>#REF!</f>
        <v>#REF!</v>
      </c>
      <c r="C49" s="24" t="e">
        <f>#REF!</f>
        <v>#REF!</v>
      </c>
      <c r="D49" s="24">
        <f>B$7+B$8*A49+B$9*EXP(B$10*A49)</f>
        <v>5.27502277914826</v>
      </c>
      <c r="E49" s="24" t="e">
        <f t="shared" si="2"/>
        <v>#REF!</v>
      </c>
    </row>
    <row r="50" spans="1:3" ht="12.75">
      <c r="A50" s="24"/>
      <c r="C50" s="35"/>
    </row>
    <row r="51" ht="12.75">
      <c r="A51" s="21" t="s">
        <v>208</v>
      </c>
    </row>
    <row r="52" ht="12.75">
      <c r="A52" s="21"/>
    </row>
    <row r="53" spans="1:5" ht="12.75">
      <c r="A53" s="22" t="s">
        <v>88</v>
      </c>
      <c r="B53" s="24" t="s">
        <v>192</v>
      </c>
      <c r="C53" t="s">
        <v>194</v>
      </c>
      <c r="D53" s="24" t="s">
        <v>196</v>
      </c>
      <c r="E53" s="28" t="s">
        <v>198</v>
      </c>
    </row>
    <row r="54" spans="1:5" ht="25.5">
      <c r="A54" s="49"/>
      <c r="B54" s="42" t="s">
        <v>193</v>
      </c>
      <c r="C54" s="32" t="s">
        <v>195</v>
      </c>
      <c r="D54" s="42" t="s">
        <v>197</v>
      </c>
      <c r="E54" s="41" t="s">
        <v>199</v>
      </c>
    </row>
    <row r="55" spans="1:5" ht="25.5">
      <c r="A55" s="44" t="s">
        <v>189</v>
      </c>
      <c r="B55" s="42" t="s">
        <v>190</v>
      </c>
      <c r="C55" s="41" t="s">
        <v>190</v>
      </c>
      <c r="D55" s="42" t="s">
        <v>190</v>
      </c>
      <c r="E55" s="41" t="s">
        <v>190</v>
      </c>
    </row>
    <row r="56" spans="1:5" ht="12.75">
      <c r="A56" s="37">
        <v>0</v>
      </c>
      <c r="B56" s="43">
        <v>0</v>
      </c>
      <c r="C56" s="24">
        <v>0</v>
      </c>
      <c r="D56" s="24">
        <v>0</v>
      </c>
      <c r="E56" s="24">
        <f aca="true" t="shared" si="3" ref="E56:E61">C56+D56</f>
        <v>0</v>
      </c>
    </row>
    <row r="57" spans="1:5" ht="12.75">
      <c r="A57" s="37">
        <v>0.5</v>
      </c>
      <c r="B57" s="43" t="e">
        <f>#REF!</f>
        <v>#REF!</v>
      </c>
      <c r="C57" s="24" t="e">
        <f>#REF!</f>
        <v>#REF!</v>
      </c>
      <c r="D57" s="24">
        <f>B$7+B$8*A57+B$9*EXP(B$10*A57)</f>
        <v>0.06070375159113972</v>
      </c>
      <c r="E57" s="24" t="e">
        <f t="shared" si="3"/>
        <v>#REF!</v>
      </c>
    </row>
    <row r="58" spans="1:5" ht="12.75">
      <c r="A58" s="24">
        <f>A57+0.5</f>
        <v>1</v>
      </c>
      <c r="B58" s="24">
        <f>'1T R'!Q27</f>
        <v>14.335212887688222</v>
      </c>
      <c r="C58" s="24">
        <f>'1T R'!Q29</f>
        <v>14.347700470689562</v>
      </c>
      <c r="D58" s="24">
        <f>B$7+B$8*A58+B$9*EXP(B$10*A58)</f>
        <v>0.5258262459893965</v>
      </c>
      <c r="E58" s="24">
        <f t="shared" si="3"/>
        <v>14.873526716678958</v>
      </c>
    </row>
    <row r="59" spans="1:5" ht="12.75">
      <c r="A59" s="24">
        <v>2</v>
      </c>
      <c r="B59" s="24" t="e">
        <f>#REF!</f>
        <v>#REF!</v>
      </c>
      <c r="C59" s="24" t="e">
        <f>#REF!</f>
        <v>#REF!</v>
      </c>
      <c r="D59" s="24">
        <f>B$7+B$8*A59+B$9*EXP(B$10*A59)</f>
        <v>1.9558683109498765</v>
      </c>
      <c r="E59" s="24" t="e">
        <f t="shared" si="3"/>
        <v>#REF!</v>
      </c>
    </row>
    <row r="60" spans="1:5" ht="12.75">
      <c r="A60" s="24">
        <v>3.08</v>
      </c>
      <c r="B60" s="24" t="e">
        <f>#REF!</f>
        <v>#REF!</v>
      </c>
      <c r="C60" s="24" t="e">
        <f>#REF!</f>
        <v>#REF!</v>
      </c>
      <c r="D60" s="24">
        <f>B$7+B$8*A60+B$9*EXP(B$10*A60)</f>
        <v>3.7262102638607697</v>
      </c>
      <c r="E60" s="24" t="e">
        <f t="shared" si="3"/>
        <v>#REF!</v>
      </c>
    </row>
    <row r="61" spans="1:5" ht="12.75">
      <c r="A61" s="24">
        <v>4</v>
      </c>
      <c r="B61" s="24" t="e">
        <f>#REF!</f>
        <v>#REF!</v>
      </c>
      <c r="C61" s="24" t="e">
        <f>#REF!</f>
        <v>#REF!</v>
      </c>
      <c r="D61" s="24">
        <f>B$7+B$8*A61+B$9*EXP(B$10*A61)</f>
        <v>5.27502277914826</v>
      </c>
      <c r="E61" s="24" t="e">
        <f t="shared" si="3"/>
        <v>#REF!</v>
      </c>
    </row>
    <row r="62" spans="3:6" ht="12.75">
      <c r="C62" s="24"/>
      <c r="E62" s="24"/>
      <c r="F62" s="24"/>
    </row>
    <row r="63" spans="3:6" ht="12.75">
      <c r="C63" s="24"/>
      <c r="E63" s="24"/>
      <c r="F63" s="24"/>
    </row>
    <row r="64" spans="3:6" ht="12.75">
      <c r="C64" s="24"/>
      <c r="E64" s="24"/>
      <c r="F64" s="24"/>
    </row>
    <row r="65" spans="3:6" ht="12.75">
      <c r="C65" s="24"/>
      <c r="E65" s="24"/>
      <c r="F65" s="24"/>
    </row>
    <row r="66" spans="1:6" ht="12.75">
      <c r="A66" s="23"/>
      <c r="C66" s="24"/>
      <c r="E66" s="24"/>
      <c r="F66" s="24"/>
    </row>
    <row r="67" spans="1:6" ht="12.75">
      <c r="A67" s="23"/>
      <c r="C67" s="24"/>
      <c r="E67" s="24"/>
      <c r="F67" s="24"/>
    </row>
    <row r="68" spans="3:6" ht="12.75">
      <c r="C68" s="24"/>
      <c r="E68" s="24"/>
      <c r="F68" s="24"/>
    </row>
    <row r="69" spans="3:6" ht="12.75">
      <c r="C69" s="24"/>
      <c r="E69" s="24"/>
      <c r="F69" s="24"/>
    </row>
  </sheetData>
  <printOptions/>
  <pageMargins left="0.75" right="0.75" top="0.51" bottom="0.51" header="0.5" footer="0.5"/>
  <pageSetup horizontalDpi="600" verticalDpi="600" orientation="landscape" paperSize="9" r:id="rId4"/>
  <drawing r:id="rId3"/>
  <legacyDrawing r:id="rId2"/>
  <oleObjects>
    <oleObject progId="Equation.3" shapeId="27477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Q87"/>
  <sheetViews>
    <sheetView workbookViewId="0" topLeftCell="A1">
      <selection activeCell="A2" sqref="A2"/>
    </sheetView>
  </sheetViews>
  <sheetFormatPr defaultColWidth="9.140625" defaultRowHeight="12.75"/>
  <cols>
    <col min="1" max="1" width="6.00390625" style="23" customWidth="1"/>
    <col min="2" max="2" width="6.7109375" style="24" customWidth="1"/>
    <col min="3" max="3" width="2.421875" style="0" customWidth="1"/>
    <col min="4" max="4" width="7.00390625" style="0" customWidth="1"/>
    <col min="5" max="5" width="6.8515625" style="0" customWidth="1"/>
    <col min="6" max="6" width="2.421875" style="0" customWidth="1"/>
    <col min="7" max="7" width="7.28125" style="0" customWidth="1"/>
    <col min="8" max="8" width="8.00390625" style="0" customWidth="1"/>
    <col min="9" max="9" width="2.7109375" style="0" customWidth="1"/>
    <col min="10" max="10" width="6.7109375" style="0" customWidth="1"/>
    <col min="11" max="11" width="7.28125" style="0" customWidth="1"/>
    <col min="12" max="12" width="7.140625" style="0" customWidth="1"/>
    <col min="13" max="13" width="7.00390625" style="0" customWidth="1"/>
    <col min="14" max="14" width="9.57421875" style="0" customWidth="1"/>
  </cols>
  <sheetData>
    <row r="1" ht="16.5">
      <c r="A1" s="1" t="s">
        <v>203</v>
      </c>
    </row>
    <row r="2" ht="12.75">
      <c r="A2" s="141" t="s">
        <v>152</v>
      </c>
    </row>
    <row r="3" ht="12.75">
      <c r="A3" s="23" t="s">
        <v>153</v>
      </c>
    </row>
    <row r="5" spans="1:14" s="32" customFormat="1" ht="12.75">
      <c r="A5" s="100" t="s">
        <v>155</v>
      </c>
      <c r="B5" s="102" t="s">
        <v>151</v>
      </c>
      <c r="D5" s="100" t="s">
        <v>155</v>
      </c>
      <c r="E5" s="101" t="s">
        <v>108</v>
      </c>
      <c r="G5" s="100" t="s">
        <v>155</v>
      </c>
      <c r="H5" s="101" t="s">
        <v>109</v>
      </c>
      <c r="J5" s="100" t="s">
        <v>155</v>
      </c>
      <c r="K5" s="101" t="s">
        <v>156</v>
      </c>
      <c r="M5" s="100" t="s">
        <v>155</v>
      </c>
      <c r="N5" s="101" t="s">
        <v>157</v>
      </c>
    </row>
    <row r="6" spans="1:14" s="32" customFormat="1" ht="26.25" customHeight="1">
      <c r="A6" s="99" t="s">
        <v>107</v>
      </c>
      <c r="B6" s="42" t="s">
        <v>154</v>
      </c>
      <c r="D6" s="23" t="s">
        <v>107</v>
      </c>
      <c r="E6" s="42" t="s">
        <v>154</v>
      </c>
      <c r="G6" s="23" t="s">
        <v>107</v>
      </c>
      <c r="H6" s="42" t="s">
        <v>154</v>
      </c>
      <c r="J6" s="23" t="s">
        <v>107</v>
      </c>
      <c r="K6" s="42" t="s">
        <v>154</v>
      </c>
      <c r="M6" s="23" t="s">
        <v>107</v>
      </c>
      <c r="N6" s="42" t="s">
        <v>154</v>
      </c>
    </row>
    <row r="7" spans="1:14" ht="12.75">
      <c r="A7" s="23">
        <v>1.83918296095</v>
      </c>
      <c r="B7" s="24">
        <v>5.79008444479</v>
      </c>
      <c r="D7" s="23">
        <v>1.86061953088</v>
      </c>
      <c r="E7" s="24">
        <v>13.1099200297</v>
      </c>
      <c r="G7" s="23">
        <v>1.87725630618</v>
      </c>
      <c r="H7" s="24">
        <v>20.6185921535</v>
      </c>
      <c r="J7" s="23">
        <v>0.284652619162</v>
      </c>
      <c r="K7" s="24">
        <v>18.7040026518</v>
      </c>
      <c r="M7" s="23">
        <v>0.0282885372317</v>
      </c>
      <c r="N7" s="24">
        <v>15.5093894295</v>
      </c>
    </row>
    <row r="8" spans="1:14" ht="12.75">
      <c r="A8" s="23">
        <v>1.84130016349</v>
      </c>
      <c r="B8" s="24">
        <v>5.79169958423</v>
      </c>
      <c r="D8" s="23">
        <v>1.85979236996</v>
      </c>
      <c r="E8" s="24">
        <v>13.1641520632</v>
      </c>
      <c r="G8" s="23">
        <v>1.87736953695</v>
      </c>
      <c r="H8" s="24">
        <v>20.9512563695</v>
      </c>
      <c r="J8" s="23">
        <v>0.284697794692</v>
      </c>
      <c r="K8" s="24">
        <v>22.3639305942</v>
      </c>
      <c r="M8" s="23">
        <v>0.0282877780164</v>
      </c>
      <c r="N8" s="24">
        <v>21.60092024</v>
      </c>
    </row>
    <row r="9" spans="1:14" ht="12.75">
      <c r="A9" s="23">
        <v>1.83744169288</v>
      </c>
      <c r="B9" s="24">
        <v>5.88139066835</v>
      </c>
      <c r="D9" s="23">
        <v>1.86026307379</v>
      </c>
      <c r="E9" s="24">
        <v>13.2695913909</v>
      </c>
      <c r="G9" s="23">
        <v>1.87728712345</v>
      </c>
      <c r="H9" s="24">
        <v>21.0651500308</v>
      </c>
      <c r="J9" s="23">
        <v>0.284736399789</v>
      </c>
      <c r="K9" s="24">
        <v>22.8922299067</v>
      </c>
      <c r="M9" s="23">
        <v>1.90046685148</v>
      </c>
      <c r="N9" s="24">
        <v>36.9259697867</v>
      </c>
    </row>
    <row r="10" spans="1:14" ht="12.75">
      <c r="A10" s="23">
        <v>2.81010907747</v>
      </c>
      <c r="B10" s="24">
        <v>6.41301813836</v>
      </c>
      <c r="D10" s="23">
        <v>1.86056587146</v>
      </c>
      <c r="E10" s="24">
        <v>13.395314152</v>
      </c>
      <c r="G10" s="23">
        <v>1.87724820281</v>
      </c>
      <c r="H10" s="24">
        <v>21.5036242275</v>
      </c>
      <c r="J10" s="23">
        <v>0.284959689664</v>
      </c>
      <c r="K10" s="24">
        <v>19.6660076507</v>
      </c>
      <c r="M10" s="23">
        <v>1.90040960082</v>
      </c>
      <c r="N10" s="24">
        <v>37.1438802494</v>
      </c>
    </row>
    <row r="11" spans="1:14" ht="12.75">
      <c r="A11" s="23">
        <v>2.79173010944</v>
      </c>
      <c r="B11" s="24">
        <v>6.61295764912</v>
      </c>
      <c r="D11" s="23">
        <v>2.79944608249</v>
      </c>
      <c r="E11" s="24">
        <v>17.0243929501</v>
      </c>
      <c r="G11" s="23">
        <v>2.83131660538</v>
      </c>
      <c r="H11" s="24">
        <v>23.220836102</v>
      </c>
      <c r="J11" s="23">
        <v>0.569060100382</v>
      </c>
      <c r="K11" s="24">
        <v>22.4670920138</v>
      </c>
      <c r="M11" s="23">
        <v>1.90047971583</v>
      </c>
      <c r="N11" s="24">
        <v>38.2945035694</v>
      </c>
    </row>
    <row r="12" spans="1:14" ht="12.75">
      <c r="A12" s="23">
        <v>2.79074190478</v>
      </c>
      <c r="B12" s="24">
        <v>6.63496394441</v>
      </c>
      <c r="D12" s="23">
        <v>2.79894081498</v>
      </c>
      <c r="E12" s="24">
        <v>17.111458686</v>
      </c>
      <c r="G12" s="23">
        <v>2.83410735106</v>
      </c>
      <c r="H12" s="24">
        <v>23.5839579082</v>
      </c>
      <c r="J12" s="23">
        <v>0.569127739612</v>
      </c>
      <c r="K12" s="24">
        <v>22.3782792275</v>
      </c>
      <c r="M12" s="23">
        <v>1.90046896756</v>
      </c>
      <c r="N12" s="24">
        <v>40.4004596718</v>
      </c>
    </row>
    <row r="13" spans="4:14" ht="12.75">
      <c r="D13" s="23">
        <v>2.79925812928</v>
      </c>
      <c r="E13" s="24">
        <v>17.1224707781</v>
      </c>
      <c r="G13" s="23">
        <v>2.8276488407</v>
      </c>
      <c r="H13" s="24">
        <v>23.9470327653</v>
      </c>
      <c r="J13" s="23">
        <v>0.569164460858</v>
      </c>
      <c r="K13" s="24">
        <v>23.1078668651</v>
      </c>
      <c r="M13" s="23">
        <v>2.82313805244</v>
      </c>
      <c r="N13" s="24">
        <v>45.27274235</v>
      </c>
    </row>
    <row r="14" spans="7:14" ht="12.75">
      <c r="G14" s="23">
        <v>2.79652713203</v>
      </c>
      <c r="H14" s="24">
        <v>24.0164588793</v>
      </c>
      <c r="J14" s="23">
        <v>0.56916899079</v>
      </c>
      <c r="K14" s="24">
        <v>22.4578427529</v>
      </c>
      <c r="M14" s="23">
        <v>2.82310644514</v>
      </c>
      <c r="N14" s="24">
        <v>45.6531375072</v>
      </c>
    </row>
    <row r="15" spans="7:14" ht="12.75">
      <c r="G15" s="23">
        <v>2.82775606348</v>
      </c>
      <c r="H15" s="24">
        <v>24.3031478049</v>
      </c>
      <c r="J15" s="23">
        <v>0.569196796408</v>
      </c>
      <c r="K15" s="24">
        <v>22.2892133483</v>
      </c>
      <c r="M15" s="23">
        <v>2.82305262292</v>
      </c>
      <c r="N15" s="24">
        <v>45.7926254944</v>
      </c>
    </row>
    <row r="16" spans="1:14" ht="12.75">
      <c r="A16" s="100" t="s">
        <v>155</v>
      </c>
      <c r="B16" s="102" t="s">
        <v>110</v>
      </c>
      <c r="G16" s="23">
        <v>2.83613691563</v>
      </c>
      <c r="H16" s="24">
        <v>24.4894156076</v>
      </c>
      <c r="J16" s="23">
        <v>0.758723243401</v>
      </c>
      <c r="K16" s="24">
        <v>26.0854641738</v>
      </c>
      <c r="M16" s="23">
        <v>3.05869142218</v>
      </c>
      <c r="N16" s="24">
        <v>46.0593394573</v>
      </c>
    </row>
    <row r="17" spans="1:14" ht="29.25" customHeight="1">
      <c r="A17" s="99" t="s">
        <v>107</v>
      </c>
      <c r="B17" s="42" t="s">
        <v>154</v>
      </c>
      <c r="G17" s="23">
        <v>2.8277695042</v>
      </c>
      <c r="H17" s="24">
        <v>24.4999383287</v>
      </c>
      <c r="J17" s="23">
        <v>0.758742081031</v>
      </c>
      <c r="K17" s="24">
        <v>24.3943270517</v>
      </c>
      <c r="M17" s="23">
        <v>3.05838920558</v>
      </c>
      <c r="N17" s="24">
        <v>47.5162249881</v>
      </c>
    </row>
    <row r="18" spans="1:14" ht="12.75">
      <c r="A18" s="23">
        <v>0.275702343612</v>
      </c>
      <c r="B18" s="24">
        <v>29.688639626</v>
      </c>
      <c r="G18" s="23">
        <v>3.75358290392</v>
      </c>
      <c r="H18" s="24">
        <v>25.4906532387</v>
      </c>
      <c r="J18" s="23">
        <v>0.758899597938</v>
      </c>
      <c r="K18" s="24">
        <v>23.5150104798</v>
      </c>
      <c r="M18" s="23">
        <v>3.05888670188</v>
      </c>
      <c r="N18" s="24">
        <v>48.9462172815</v>
      </c>
    </row>
    <row r="19" spans="1:14" ht="12.75">
      <c r="A19" s="23">
        <v>0.275701899201</v>
      </c>
      <c r="B19" s="24">
        <v>30.7884545341</v>
      </c>
      <c r="G19" s="23">
        <v>3.74584962265</v>
      </c>
      <c r="H19" s="24">
        <v>25.8265090711</v>
      </c>
      <c r="J19" s="23">
        <v>0.758936420126</v>
      </c>
      <c r="K19" s="24">
        <v>26.1176603189</v>
      </c>
      <c r="M19" s="23">
        <v>3.77256205225</v>
      </c>
      <c r="N19" s="24">
        <v>49.9134646989</v>
      </c>
    </row>
    <row r="20" spans="1:14" ht="12.75">
      <c r="A20" s="23">
        <v>0.275708549916</v>
      </c>
      <c r="B20" s="24">
        <v>31.6745808803</v>
      </c>
      <c r="G20" s="23">
        <v>3.74990473649</v>
      </c>
      <c r="H20" s="24">
        <v>26.1855764496</v>
      </c>
      <c r="J20" s="23">
        <v>0.94832826352</v>
      </c>
      <c r="K20" s="24">
        <v>27.0244980137</v>
      </c>
      <c r="M20" s="23">
        <v>3.77294014141</v>
      </c>
      <c r="N20" s="24">
        <v>50.6196963395</v>
      </c>
    </row>
    <row r="21" spans="1:14" ht="12.75">
      <c r="A21" s="23">
        <v>0.275682571024</v>
      </c>
      <c r="B21" s="24">
        <v>32.411632896</v>
      </c>
      <c r="J21" s="23">
        <v>0.948468083942</v>
      </c>
      <c r="K21" s="24">
        <v>25.4108022396</v>
      </c>
      <c r="M21" s="23">
        <v>3.77308964286</v>
      </c>
      <c r="N21" s="24">
        <v>50.8401581701</v>
      </c>
    </row>
    <row r="22" spans="1:14" ht="12.75">
      <c r="A22" s="23">
        <v>0.275682110216</v>
      </c>
      <c r="B22" s="24">
        <v>32.4819665635</v>
      </c>
      <c r="J22" s="23">
        <v>0.948508322837</v>
      </c>
      <c r="K22" s="24">
        <v>27.6620996451</v>
      </c>
      <c r="M22" s="23">
        <v>3.84982053117</v>
      </c>
      <c r="N22" s="24">
        <v>51.7301085543</v>
      </c>
    </row>
    <row r="23" spans="1:14" ht="12.75">
      <c r="A23" s="23">
        <v>0.275684008615</v>
      </c>
      <c r="B23" s="24">
        <v>37.9464439799</v>
      </c>
      <c r="J23" s="23">
        <v>0.948521846247</v>
      </c>
      <c r="K23" s="24">
        <v>26.3098038128</v>
      </c>
      <c r="M23" s="23">
        <v>3.84760471072</v>
      </c>
      <c r="N23" s="24">
        <v>52.3137879665</v>
      </c>
    </row>
    <row r="24" spans="1:14" ht="12.75">
      <c r="A24" s="23">
        <v>0.312030024595</v>
      </c>
      <c r="B24" s="24">
        <v>34.626926374</v>
      </c>
      <c r="D24" s="100" t="s">
        <v>155</v>
      </c>
      <c r="E24" s="101" t="s">
        <v>111</v>
      </c>
      <c r="G24" s="100" t="s">
        <v>155</v>
      </c>
      <c r="H24" s="101" t="s">
        <v>112</v>
      </c>
      <c r="J24" s="23">
        <v>0.948620724586</v>
      </c>
      <c r="K24" s="24">
        <v>26.1665326432</v>
      </c>
      <c r="M24" s="23">
        <v>3.84790213373</v>
      </c>
      <c r="N24" s="24">
        <v>53.1053056428</v>
      </c>
    </row>
    <row r="25" spans="1:14" ht="25.5">
      <c r="A25" s="23">
        <v>0.312030133801</v>
      </c>
      <c r="B25" s="24">
        <v>34.7930119183</v>
      </c>
      <c r="D25" s="99" t="s">
        <v>107</v>
      </c>
      <c r="E25" s="42" t="s">
        <v>154</v>
      </c>
      <c r="G25" s="99" t="s">
        <v>107</v>
      </c>
      <c r="H25" s="42" t="s">
        <v>154</v>
      </c>
      <c r="J25" s="23">
        <v>1.13784012172</v>
      </c>
      <c r="K25" s="24">
        <v>28.3275483666</v>
      </c>
      <c r="M25" s="23">
        <v>3.84804450442</v>
      </c>
      <c r="N25" s="24">
        <v>53.6659361944</v>
      </c>
    </row>
    <row r="26" spans="1:11" ht="12.75">
      <c r="A26" s="23">
        <v>0.31202925917</v>
      </c>
      <c r="B26" s="24">
        <v>34.9926403107</v>
      </c>
      <c r="D26" s="23">
        <v>0.949263109923</v>
      </c>
      <c r="E26" s="24">
        <v>54.9753225462</v>
      </c>
      <c r="G26" s="23">
        <v>0.949362569985</v>
      </c>
      <c r="H26" s="24">
        <v>68.6460343847</v>
      </c>
      <c r="J26" s="23">
        <v>1.1378705005</v>
      </c>
      <c r="K26" s="24">
        <v>28.3808312184</v>
      </c>
    </row>
    <row r="27" spans="1:11" ht="12.75">
      <c r="A27" s="23">
        <v>0.551697723547</v>
      </c>
      <c r="B27" s="24">
        <v>40.4031766012</v>
      </c>
      <c r="D27" s="23">
        <v>0.949254500832</v>
      </c>
      <c r="E27" s="24">
        <v>58.7688954498</v>
      </c>
      <c r="G27" s="23">
        <v>0.949368692074</v>
      </c>
      <c r="H27" s="24">
        <v>69.0804803703</v>
      </c>
      <c r="J27" s="23">
        <v>1.1380184017</v>
      </c>
      <c r="K27" s="24">
        <v>29.5100094953</v>
      </c>
    </row>
    <row r="28" spans="1:11" ht="12.75">
      <c r="A28" s="23">
        <v>0.551266444502</v>
      </c>
      <c r="B28" s="24">
        <v>41.1820574802</v>
      </c>
      <c r="D28" s="23">
        <v>0.949296014166</v>
      </c>
      <c r="E28" s="24">
        <v>60.4080421813</v>
      </c>
      <c r="G28" s="23">
        <v>0.949337927214</v>
      </c>
      <c r="H28" s="24">
        <v>69.7423921202</v>
      </c>
      <c r="J28" s="23">
        <v>1.1381464402</v>
      </c>
      <c r="K28" s="24">
        <v>29.2834835161</v>
      </c>
    </row>
    <row r="29" spans="1:11" ht="12.75">
      <c r="A29" s="23">
        <v>0.551231803794</v>
      </c>
      <c r="B29" s="24">
        <v>41.2131644437</v>
      </c>
      <c r="D29" s="23">
        <v>1.89905509677</v>
      </c>
      <c r="E29" s="24">
        <v>81.1640809853</v>
      </c>
      <c r="G29" s="23">
        <v>0.949378422414</v>
      </c>
      <c r="H29" s="24">
        <v>72.3099855377</v>
      </c>
      <c r="J29" s="23">
        <v>1.32726062627</v>
      </c>
      <c r="K29" s="24">
        <v>31.1276563566</v>
      </c>
    </row>
    <row r="30" spans="1:11" ht="12.75">
      <c r="A30" s="23">
        <v>0.551228533959</v>
      </c>
      <c r="B30" s="24">
        <v>43.2963089922</v>
      </c>
      <c r="D30" s="23">
        <v>1.90136953764</v>
      </c>
      <c r="E30" s="24">
        <v>81.3646339285</v>
      </c>
      <c r="G30" s="23">
        <v>1.13933390682</v>
      </c>
      <c r="H30" s="24">
        <v>74.8258009191</v>
      </c>
      <c r="J30" s="23">
        <v>1.32729490729</v>
      </c>
      <c r="K30" s="24">
        <v>29.735863146</v>
      </c>
    </row>
    <row r="31" spans="1:11" ht="12.75">
      <c r="A31" s="23">
        <v>0.63408158736</v>
      </c>
      <c r="B31" s="24">
        <v>39.3578839725</v>
      </c>
      <c r="D31" s="23">
        <v>1.90166375446</v>
      </c>
      <c r="E31" s="24">
        <v>81.484921385</v>
      </c>
      <c r="G31" s="23">
        <v>1.13929617044</v>
      </c>
      <c r="H31" s="24">
        <v>76.9858808455</v>
      </c>
      <c r="J31" s="23">
        <v>1.32751879985</v>
      </c>
      <c r="K31" s="24">
        <v>29.4241786178</v>
      </c>
    </row>
    <row r="32" spans="1:11" ht="12.75">
      <c r="A32" s="23">
        <v>0.734964333279</v>
      </c>
      <c r="B32" s="24">
        <v>36.0783168138</v>
      </c>
      <c r="D32" s="23">
        <v>1.89837439292</v>
      </c>
      <c r="E32" s="24">
        <v>81.6808190058</v>
      </c>
      <c r="G32" s="23">
        <v>1.13929014616</v>
      </c>
      <c r="H32" s="24">
        <v>77.3011981784</v>
      </c>
      <c r="J32" s="23">
        <v>1.32767637404</v>
      </c>
      <c r="K32" s="24">
        <v>31.0286526434</v>
      </c>
    </row>
    <row r="33" spans="1:11" ht="12.75">
      <c r="A33" s="23">
        <v>0.73491936291</v>
      </c>
      <c r="B33" s="24">
        <v>40.3979489241</v>
      </c>
      <c r="D33" s="23">
        <v>1.9014408022</v>
      </c>
      <c r="E33" s="24">
        <v>81.7693563518</v>
      </c>
      <c r="G33" s="23">
        <v>1.13928821822</v>
      </c>
      <c r="H33" s="24">
        <v>78.2689973159</v>
      </c>
      <c r="J33" s="23">
        <v>1.5165306939</v>
      </c>
      <c r="K33" s="24">
        <v>32.415262888</v>
      </c>
    </row>
    <row r="34" spans="1:11" ht="12.75">
      <c r="A34" s="23">
        <v>0.735078887507</v>
      </c>
      <c r="B34" s="24">
        <v>43.8956381922</v>
      </c>
      <c r="D34" s="23">
        <v>1.89906074521</v>
      </c>
      <c r="E34" s="24">
        <v>82.4549436079</v>
      </c>
      <c r="G34" s="23">
        <v>1.32977553989</v>
      </c>
      <c r="H34" s="24">
        <v>78.7806532759</v>
      </c>
      <c r="J34" s="23">
        <v>1.51657700721</v>
      </c>
      <c r="K34" s="24">
        <v>31.1407980332</v>
      </c>
    </row>
    <row r="35" spans="1:11" ht="12.75">
      <c r="A35" s="23">
        <v>0.73500472333</v>
      </c>
      <c r="B35" s="24">
        <v>44.3391844746</v>
      </c>
      <c r="D35" s="23">
        <v>1.89904219592</v>
      </c>
      <c r="E35" s="24">
        <v>82.5697014759</v>
      </c>
      <c r="G35" s="23">
        <v>1.3296879577</v>
      </c>
      <c r="H35" s="24">
        <v>80.3992995172</v>
      </c>
      <c r="J35" s="23">
        <v>1.51657961984</v>
      </c>
      <c r="K35" s="24">
        <v>32.3171616092</v>
      </c>
    </row>
    <row r="36" spans="1:11" ht="12.75">
      <c r="A36" s="23">
        <v>0.919065404318</v>
      </c>
      <c r="B36" s="24">
        <v>42.0521655608</v>
      </c>
      <c r="D36" s="23">
        <v>2.37427990895</v>
      </c>
      <c r="E36" s="24">
        <v>94.0094843406</v>
      </c>
      <c r="G36" s="23">
        <v>1.32969683582</v>
      </c>
      <c r="H36" s="24">
        <v>81.6485023944</v>
      </c>
      <c r="J36" s="23">
        <v>1.5170350595</v>
      </c>
      <c r="K36" s="24">
        <v>32.7531276048</v>
      </c>
    </row>
    <row r="37" spans="1:11" ht="12.75">
      <c r="A37" s="23">
        <v>0.918959418731</v>
      </c>
      <c r="B37" s="24">
        <v>43.7807373606</v>
      </c>
      <c r="D37" s="23">
        <v>2.85622342414</v>
      </c>
      <c r="E37" s="24">
        <v>102.035872667</v>
      </c>
      <c r="G37" s="23">
        <v>1.32959640285</v>
      </c>
      <c r="H37" s="24">
        <v>82.9877358637</v>
      </c>
      <c r="J37" s="23">
        <v>1.70597753162</v>
      </c>
      <c r="K37" s="24">
        <v>34.6469977151</v>
      </c>
    </row>
    <row r="38" spans="1:11" ht="12.75">
      <c r="A38" s="23">
        <v>0.91899495188</v>
      </c>
      <c r="B38" s="24">
        <v>44.0719711244</v>
      </c>
      <c r="G38" s="23">
        <v>1.52010706108</v>
      </c>
      <c r="H38" s="24">
        <v>88.0443518419</v>
      </c>
      <c r="J38" s="23">
        <v>1.70601111976</v>
      </c>
      <c r="K38" s="24">
        <v>34.8534541259</v>
      </c>
    </row>
    <row r="39" spans="1:11" ht="12.75">
      <c r="A39" s="23">
        <v>0.91899183529</v>
      </c>
      <c r="B39" s="24">
        <v>44.7173987963</v>
      </c>
      <c r="G39" s="23">
        <v>1.52009239026</v>
      </c>
      <c r="H39" s="24">
        <v>88.639871199</v>
      </c>
      <c r="J39" s="23">
        <v>1.70609408757</v>
      </c>
      <c r="K39" s="24">
        <v>35.303961163</v>
      </c>
    </row>
    <row r="40" spans="1:11" ht="12.75">
      <c r="A40" s="23">
        <v>0.948980902451</v>
      </c>
      <c r="B40" s="24">
        <v>45.0296907361</v>
      </c>
      <c r="G40" s="23">
        <v>1.52026518087</v>
      </c>
      <c r="H40" s="24">
        <v>92.6921284459</v>
      </c>
      <c r="J40" s="23">
        <v>1.70610075168</v>
      </c>
      <c r="K40" s="24">
        <v>35.4193773228</v>
      </c>
    </row>
    <row r="41" spans="1:11" ht="12.75">
      <c r="A41" s="23">
        <v>0.918964031412</v>
      </c>
      <c r="B41" s="24">
        <v>45.1768422283</v>
      </c>
      <c r="G41" s="23">
        <v>1.71035034893</v>
      </c>
      <c r="H41" s="24">
        <v>86.6636436305</v>
      </c>
      <c r="J41" s="23">
        <v>1.70626618211</v>
      </c>
      <c r="K41" s="24">
        <v>34.0305387205</v>
      </c>
    </row>
    <row r="42" spans="1:11" ht="12.75">
      <c r="A42" s="23">
        <v>0.918989809759</v>
      </c>
      <c r="B42" s="24">
        <v>45.7646049791</v>
      </c>
      <c r="G42" s="23">
        <v>1.71083422453</v>
      </c>
      <c r="H42" s="24">
        <v>87.0415388608</v>
      </c>
      <c r="J42" s="23">
        <v>1.89531586262</v>
      </c>
      <c r="K42" s="24">
        <v>37.3036571016</v>
      </c>
    </row>
    <row r="43" spans="1:11" ht="12.75">
      <c r="A43" s="23">
        <v>0.918867647127</v>
      </c>
      <c r="B43" s="24">
        <v>45.9746507819</v>
      </c>
      <c r="G43" s="23">
        <v>1.71040532364</v>
      </c>
      <c r="H43" s="24">
        <v>87.3602788698</v>
      </c>
      <c r="J43" s="23">
        <v>1.89536331091</v>
      </c>
      <c r="K43" s="24">
        <v>34.891022444</v>
      </c>
    </row>
    <row r="44" spans="1:11" ht="12.75">
      <c r="A44" s="23">
        <v>0.948999398189</v>
      </c>
      <c r="B44" s="24">
        <v>47.2564632345</v>
      </c>
      <c r="G44" s="23">
        <v>1.71097820718</v>
      </c>
      <c r="H44" s="24">
        <v>90.2925783758</v>
      </c>
      <c r="J44" s="23">
        <v>1.89536561443</v>
      </c>
      <c r="K44" s="24">
        <v>34.5131514831</v>
      </c>
    </row>
    <row r="45" spans="1:11" ht="12.75">
      <c r="A45" s="23">
        <v>0.919018197121</v>
      </c>
      <c r="B45" s="24">
        <v>47.4043312737</v>
      </c>
      <c r="G45" s="23">
        <v>1.89900047373</v>
      </c>
      <c r="H45" s="24">
        <v>80.0857922779</v>
      </c>
      <c r="J45" s="23">
        <v>1.89540951962</v>
      </c>
      <c r="K45" s="24">
        <v>35.8991481032</v>
      </c>
    </row>
    <row r="46" spans="1:11" ht="12.75">
      <c r="A46" s="23">
        <v>0.949010598341</v>
      </c>
      <c r="B46" s="24">
        <v>47.5698977644</v>
      </c>
      <c r="G46" s="23">
        <v>1.89908531435</v>
      </c>
      <c r="H46" s="24">
        <v>81.0710240024</v>
      </c>
      <c r="J46" s="23">
        <v>1.89553088085</v>
      </c>
      <c r="K46" s="24">
        <v>35.5054261245</v>
      </c>
    </row>
    <row r="47" spans="1:8" ht="12.75">
      <c r="A47" s="23">
        <v>0.948979820692</v>
      </c>
      <c r="B47" s="24">
        <v>49.3823950911</v>
      </c>
      <c r="G47" s="23">
        <v>1.89905489541</v>
      </c>
      <c r="H47" s="24">
        <v>81.3419532765</v>
      </c>
    </row>
    <row r="48" spans="1:8" ht="12.75">
      <c r="A48" s="23">
        <v>1.10271616881</v>
      </c>
      <c r="B48" s="24">
        <v>44.8295347365</v>
      </c>
      <c r="G48" s="23">
        <v>1.89875289398</v>
      </c>
      <c r="H48" s="24">
        <v>83.5535175532</v>
      </c>
    </row>
    <row r="49" spans="1:8" ht="12.75">
      <c r="A49" s="23">
        <v>1.10265405368</v>
      </c>
      <c r="B49" s="24">
        <v>45.9571743426</v>
      </c>
      <c r="G49" s="23">
        <v>1.89901502492</v>
      </c>
      <c r="H49" s="24">
        <v>83.9868718553</v>
      </c>
    </row>
    <row r="50" spans="1:8" ht="12.75">
      <c r="A50" s="23">
        <v>1.10266123403</v>
      </c>
      <c r="B50" s="24">
        <v>48.5118919668</v>
      </c>
      <c r="G50" s="23">
        <v>1.89902849804</v>
      </c>
      <c r="H50" s="24">
        <v>83.9880384557</v>
      </c>
    </row>
    <row r="51" spans="1:8" ht="12.75">
      <c r="A51" s="23">
        <v>1.10266835709</v>
      </c>
      <c r="B51" s="24">
        <v>49.0964371492</v>
      </c>
      <c r="G51" s="23">
        <v>1.89917265919</v>
      </c>
      <c r="H51" s="24">
        <v>84.4547960173</v>
      </c>
    </row>
    <row r="52" spans="1:8" ht="12.75">
      <c r="A52" s="23">
        <v>1.10272060168</v>
      </c>
      <c r="B52" s="24">
        <v>49.1462342509</v>
      </c>
      <c r="G52" s="23">
        <v>1.89868644606</v>
      </c>
      <c r="H52" s="24">
        <v>84.9090124194</v>
      </c>
    </row>
    <row r="53" spans="1:8" ht="12.75">
      <c r="A53" s="23">
        <v>1.10273679141</v>
      </c>
      <c r="B53" s="24">
        <v>50.7066110257</v>
      </c>
      <c r="G53" s="23">
        <v>1.89914497265</v>
      </c>
      <c r="H53" s="24">
        <v>86.7485886307</v>
      </c>
    </row>
    <row r="54" spans="1:10" ht="12.75">
      <c r="A54" s="23">
        <v>1.28625741814</v>
      </c>
      <c r="B54" s="24">
        <v>51.9143243004</v>
      </c>
      <c r="G54" s="23">
        <v>1.89906215388</v>
      </c>
      <c r="H54" s="24">
        <v>86.9139373939</v>
      </c>
      <c r="J54" s="39" t="s">
        <v>186</v>
      </c>
    </row>
    <row r="55" spans="1:11" ht="12.75">
      <c r="A55" s="23">
        <v>1.28635995626</v>
      </c>
      <c r="B55" s="24">
        <v>54.0458558618</v>
      </c>
      <c r="G55" s="23">
        <v>1.89884335191</v>
      </c>
      <c r="H55" s="24">
        <v>86.9545182924</v>
      </c>
      <c r="J55" s="25" t="s">
        <v>187</v>
      </c>
      <c r="K55" s="24"/>
    </row>
    <row r="56" spans="1:11" ht="12.75">
      <c r="A56" s="23">
        <v>1.28613217496</v>
      </c>
      <c r="B56" s="24">
        <v>54.545793282</v>
      </c>
      <c r="G56" s="23">
        <v>1.89902451545</v>
      </c>
      <c r="H56" s="24">
        <v>87.1233024368</v>
      </c>
      <c r="J56" s="22"/>
      <c r="K56" s="24"/>
    </row>
    <row r="57" spans="1:17" ht="24.75" customHeight="1">
      <c r="A57" s="23">
        <v>1.28623605951</v>
      </c>
      <c r="B57" s="24">
        <v>54.6109678599</v>
      </c>
      <c r="G57" s="23">
        <v>1.8987505021</v>
      </c>
      <c r="H57" s="24">
        <v>87.2233891058</v>
      </c>
      <c r="J57" s="44" t="s">
        <v>106</v>
      </c>
      <c r="K57" s="41" t="s">
        <v>7</v>
      </c>
      <c r="L57" s="41" t="s">
        <v>113</v>
      </c>
      <c r="P57" s="37"/>
      <c r="Q57" s="24"/>
    </row>
    <row r="58" spans="1:17" ht="12.75">
      <c r="A58" s="23">
        <v>1.47014629196</v>
      </c>
      <c r="B58" s="24">
        <v>53.0533391367</v>
      </c>
      <c r="G58" s="23">
        <v>1.89880665223</v>
      </c>
      <c r="H58" s="24">
        <v>87.3065800214</v>
      </c>
      <c r="J58" s="37">
        <v>0.31</v>
      </c>
      <c r="K58" s="24">
        <v>0.7623392120982206</v>
      </c>
      <c r="L58" s="35">
        <v>0.08502674368715066</v>
      </c>
      <c r="P58" s="37"/>
      <c r="Q58" s="24"/>
    </row>
    <row r="59" spans="1:17" ht="12.75">
      <c r="A59" s="23">
        <v>1.46991976275</v>
      </c>
      <c r="B59" s="24">
        <v>55.3867531354</v>
      </c>
      <c r="G59" s="23">
        <v>1.90239990994</v>
      </c>
      <c r="H59" s="24">
        <v>87.4391452723</v>
      </c>
      <c r="J59" s="37">
        <v>0.67</v>
      </c>
      <c r="K59" s="24">
        <v>4.101984188667589</v>
      </c>
      <c r="L59" s="35">
        <v>0.08390816374469848</v>
      </c>
      <c r="P59" s="24"/>
      <c r="Q59" s="24"/>
    </row>
    <row r="60" spans="1:17" ht="12.75">
      <c r="A60" s="23">
        <v>1.46993398445</v>
      </c>
      <c r="B60" s="24">
        <v>56.7063379999</v>
      </c>
      <c r="G60" s="23">
        <v>1.89877623356</v>
      </c>
      <c r="H60" s="24">
        <v>87.6768938152</v>
      </c>
      <c r="J60" s="24">
        <v>1</v>
      </c>
      <c r="K60" s="24">
        <v>2.6078500633863637</v>
      </c>
      <c r="L60" s="35">
        <v>0.20425314729464508</v>
      </c>
      <c r="P60" s="24"/>
      <c r="Q60" s="24"/>
    </row>
    <row r="61" spans="1:17" ht="12.75">
      <c r="A61" s="23">
        <v>1.46992762626</v>
      </c>
      <c r="B61" s="24">
        <v>57.2888995473</v>
      </c>
      <c r="G61" s="23">
        <v>1.89878691896</v>
      </c>
      <c r="H61" s="24">
        <v>91.0071721397</v>
      </c>
      <c r="J61" s="24">
        <v>1.9</v>
      </c>
      <c r="K61" s="24">
        <v>9.722565403508517</v>
      </c>
      <c r="L61" s="35">
        <v>0.3107512049396219</v>
      </c>
      <c r="P61" s="24"/>
      <c r="Q61" s="24"/>
    </row>
    <row r="62" spans="1:17" ht="12.75">
      <c r="A62" s="23">
        <v>1.65586988153</v>
      </c>
      <c r="B62" s="24">
        <v>56.3504250062</v>
      </c>
      <c r="G62" s="23">
        <v>1.89859369847</v>
      </c>
      <c r="H62" s="24">
        <v>92.7888340254</v>
      </c>
      <c r="J62" s="24">
        <v>2</v>
      </c>
      <c r="K62" s="24">
        <v>8.466447297653893</v>
      </c>
      <c r="L62" s="35">
        <v>0.40675461424420517</v>
      </c>
      <c r="P62" s="24"/>
      <c r="Q62" s="24"/>
    </row>
    <row r="63" spans="1:17" ht="12.75">
      <c r="A63" s="23">
        <v>1.65368309945</v>
      </c>
      <c r="B63" s="24">
        <v>57.799351882</v>
      </c>
      <c r="G63" s="23">
        <v>1.89829969335</v>
      </c>
      <c r="H63" s="24">
        <v>92.8160898907</v>
      </c>
      <c r="J63" s="24">
        <v>3.08</v>
      </c>
      <c r="K63" s="24">
        <v>16.104430827492042</v>
      </c>
      <c r="L63" s="35">
        <v>0.8676232220536881</v>
      </c>
      <c r="P63" s="24"/>
      <c r="Q63" s="24"/>
    </row>
    <row r="64" spans="1:17" ht="12.75">
      <c r="A64" s="23">
        <v>1.65364509251</v>
      </c>
      <c r="B64" s="24">
        <v>59.0010505658</v>
      </c>
      <c r="G64" s="23">
        <v>1.90252775516</v>
      </c>
      <c r="H64" s="24">
        <v>93.0686986161</v>
      </c>
      <c r="J64" s="24">
        <v>3.6</v>
      </c>
      <c r="K64" s="24">
        <v>23.968797053881936</v>
      </c>
      <c r="L64" s="35">
        <v>0.841538467283269</v>
      </c>
      <c r="P64" s="24"/>
      <c r="Q64" s="24"/>
    </row>
    <row r="65" spans="1:12" ht="12.75">
      <c r="A65" s="23">
        <v>1.65361690064</v>
      </c>
      <c r="B65" s="24">
        <v>61.3258467277</v>
      </c>
      <c r="G65" s="23">
        <v>1.89863765485</v>
      </c>
      <c r="H65" s="24">
        <v>93.409515024</v>
      </c>
      <c r="J65" s="24">
        <v>4</v>
      </c>
      <c r="K65" s="24">
        <v>26.32301210900154</v>
      </c>
      <c r="L65" s="35">
        <v>1.0768980260454508</v>
      </c>
    </row>
    <row r="66" spans="1:8" ht="12.75">
      <c r="A66" s="23">
        <v>1.653630502</v>
      </c>
      <c r="B66" s="24">
        <v>61.6367096745</v>
      </c>
      <c r="G66" s="23">
        <v>1.90194961571</v>
      </c>
      <c r="H66" s="24">
        <v>96.0436942604</v>
      </c>
    </row>
    <row r="67" spans="1:8" ht="12.75">
      <c r="A67" s="23">
        <v>1.84015710871</v>
      </c>
      <c r="B67" s="24">
        <v>48.5182561299</v>
      </c>
      <c r="G67" s="23">
        <v>1.9008401229</v>
      </c>
      <c r="H67" s="24">
        <v>96.2814735439</v>
      </c>
    </row>
    <row r="68" spans="1:10" ht="12.75">
      <c r="A68" s="23">
        <v>1.84097910674</v>
      </c>
      <c r="B68" s="24">
        <v>51.8977114955</v>
      </c>
      <c r="G68" s="23">
        <v>1.8982524242</v>
      </c>
      <c r="H68" s="24">
        <v>98.2776108368</v>
      </c>
      <c r="J68" s="39" t="s">
        <v>188</v>
      </c>
    </row>
    <row r="69" spans="1:10" ht="12.75">
      <c r="A69" s="23">
        <v>1.84099357717</v>
      </c>
      <c r="B69" s="24">
        <v>51.921653959</v>
      </c>
      <c r="G69" s="23">
        <v>1.90265060637</v>
      </c>
      <c r="H69" s="24">
        <v>98.922227363</v>
      </c>
      <c r="J69" s="25" t="s">
        <v>187</v>
      </c>
    </row>
    <row r="70" spans="1:8" ht="12.75">
      <c r="A70" s="23">
        <v>1.84100790732</v>
      </c>
      <c r="B70" s="24">
        <v>53.3482069687</v>
      </c>
      <c r="G70" s="23">
        <v>1.90129885434</v>
      </c>
      <c r="H70" s="24">
        <v>99.1903897019</v>
      </c>
    </row>
    <row r="71" spans="1:12" ht="12.75">
      <c r="A71" s="23">
        <v>1.84095619423</v>
      </c>
      <c r="B71" s="24">
        <v>54.361442671</v>
      </c>
      <c r="G71" s="23">
        <v>1.9009253813</v>
      </c>
      <c r="H71" s="24">
        <v>99.3089840679</v>
      </c>
      <c r="J71" s="139" t="s">
        <v>150</v>
      </c>
      <c r="K71" s="28" t="s">
        <v>3</v>
      </c>
      <c r="L71" t="s">
        <v>183</v>
      </c>
    </row>
    <row r="72" spans="1:12" ht="12.75">
      <c r="A72" s="23">
        <v>1.84014877184</v>
      </c>
      <c r="B72" s="24">
        <v>55.6702549076</v>
      </c>
      <c r="G72" s="23">
        <v>1.89855869284</v>
      </c>
      <c r="H72" s="24">
        <v>100.041685761</v>
      </c>
      <c r="J72" s="25">
        <v>0.31</v>
      </c>
      <c r="K72" s="38">
        <v>4.41993171911628</v>
      </c>
      <c r="L72" s="24">
        <v>0.2</v>
      </c>
    </row>
    <row r="73" spans="1:12" ht="12.75">
      <c r="A73" s="23">
        <v>1.83739841083</v>
      </c>
      <c r="B73" s="24">
        <v>59.3269374182</v>
      </c>
      <c r="G73" s="23">
        <v>1.89826163254</v>
      </c>
      <c r="H73" s="24">
        <v>100.626373646</v>
      </c>
      <c r="J73" s="25">
        <v>0.67</v>
      </c>
      <c r="K73" s="38">
        <v>5.603777233357124</v>
      </c>
      <c r="L73" s="24">
        <v>0.1938204140279094</v>
      </c>
    </row>
    <row r="74" spans="1:12" ht="12.75">
      <c r="A74" s="23">
        <v>1.8378322056</v>
      </c>
      <c r="B74" s="24">
        <v>60.0590244196</v>
      </c>
      <c r="G74" s="23">
        <v>1.90224151686</v>
      </c>
      <c r="H74" s="24">
        <v>100.845975764</v>
      </c>
      <c r="J74" s="23">
        <v>1</v>
      </c>
      <c r="K74" s="38">
        <v>16.37115936959671</v>
      </c>
      <c r="L74" s="24">
        <v>0.5781798931421446</v>
      </c>
    </row>
    <row r="75" spans="1:12" ht="12.75">
      <c r="A75" s="23">
        <v>1.83795029272</v>
      </c>
      <c r="B75" s="24">
        <v>61.4221450057</v>
      </c>
      <c r="G75" s="23">
        <v>1.90080902329</v>
      </c>
      <c r="H75" s="24">
        <v>101.805649842</v>
      </c>
      <c r="J75" s="23">
        <v>1.9</v>
      </c>
      <c r="K75" s="38">
        <v>17.562982344530965</v>
      </c>
      <c r="L75" s="24">
        <v>0.38903303178324156</v>
      </c>
    </row>
    <row r="76" spans="1:12" ht="12.75">
      <c r="A76" s="23">
        <v>1.83733616699</v>
      </c>
      <c r="B76" s="24">
        <v>61.7151419837</v>
      </c>
      <c r="G76" s="23">
        <v>2.84109212549</v>
      </c>
      <c r="H76" s="24">
        <v>113.9465255</v>
      </c>
      <c r="J76" s="23">
        <v>2</v>
      </c>
      <c r="K76" s="38">
        <v>20.574541093672742</v>
      </c>
      <c r="L76" s="24">
        <v>1.2108321161966666</v>
      </c>
    </row>
    <row r="77" spans="1:12" ht="12.75">
      <c r="A77" s="23">
        <v>1.83790355918</v>
      </c>
      <c r="B77" s="24">
        <v>61.8838770478</v>
      </c>
      <c r="G77" s="23">
        <v>2.84111497287</v>
      </c>
      <c r="H77" s="24">
        <v>120.197030361</v>
      </c>
      <c r="J77" s="23">
        <v>3.08</v>
      </c>
      <c r="K77" s="38">
        <v>30.543406918793924</v>
      </c>
      <c r="L77" s="24">
        <v>1.267284473966957</v>
      </c>
    </row>
    <row r="78" spans="1:12" ht="12.75">
      <c r="A78" s="23">
        <v>1.83750829725</v>
      </c>
      <c r="B78" s="24">
        <v>62.9664114678</v>
      </c>
      <c r="G78" s="23">
        <v>2.84125564839</v>
      </c>
      <c r="H78" s="24">
        <v>121.983420786</v>
      </c>
      <c r="J78" s="23">
        <v>3.6</v>
      </c>
      <c r="K78" s="38">
        <v>35.85611475047456</v>
      </c>
      <c r="L78" s="24">
        <v>1.5700313258759975</v>
      </c>
    </row>
    <row r="79" spans="1:12" ht="12.75">
      <c r="A79" s="23">
        <v>1.83751338811</v>
      </c>
      <c r="B79" s="24">
        <v>63.4190964865</v>
      </c>
      <c r="G79" s="23">
        <v>2.84107286514</v>
      </c>
      <c r="H79" s="24">
        <v>132.370940551</v>
      </c>
      <c r="J79" s="23">
        <v>4</v>
      </c>
      <c r="K79" s="38">
        <v>43.22527295432219</v>
      </c>
      <c r="L79" s="24">
        <v>2.2631123166144804</v>
      </c>
    </row>
    <row r="80" spans="1:8" ht="12.75">
      <c r="A80" s="23">
        <v>1.8993135535</v>
      </c>
      <c r="B80" s="24">
        <v>59.0139329107</v>
      </c>
      <c r="G80" s="23">
        <v>3.79238061898</v>
      </c>
      <c r="H80" s="24">
        <v>140.246231092</v>
      </c>
    </row>
    <row r="81" spans="1:8" ht="12.75">
      <c r="A81" s="23">
        <v>1.89932782828</v>
      </c>
      <c r="B81" s="24">
        <v>59.7218644747</v>
      </c>
      <c r="G81" s="23">
        <v>3.79355516679</v>
      </c>
      <c r="H81" s="24">
        <v>140.422295089</v>
      </c>
    </row>
    <row r="82" spans="1:8" ht="12.75">
      <c r="A82" s="23">
        <v>1.89743413728</v>
      </c>
      <c r="B82" s="24">
        <v>64.9155285491</v>
      </c>
      <c r="G82" s="23">
        <v>3.79312931045</v>
      </c>
      <c r="H82" s="24">
        <v>141.728737717</v>
      </c>
    </row>
    <row r="83" spans="1:8" ht="12.75">
      <c r="A83" s="23">
        <v>1.8992727357</v>
      </c>
      <c r="B83" s="24">
        <v>65.6211540119</v>
      </c>
      <c r="G83" s="23">
        <v>3.79358850111</v>
      </c>
      <c r="H83" s="24">
        <v>144.826044207</v>
      </c>
    </row>
    <row r="84" spans="1:8" ht="12.75">
      <c r="A84" s="23">
        <v>2.85711695349</v>
      </c>
      <c r="B84" s="24">
        <v>66.5385964943</v>
      </c>
      <c r="G84" s="23">
        <v>3.79227789469</v>
      </c>
      <c r="H84" s="24">
        <v>146.053524217</v>
      </c>
    </row>
    <row r="85" spans="1:8" ht="12.75">
      <c r="A85" s="23">
        <v>2.85309181675</v>
      </c>
      <c r="B85" s="24">
        <v>70.0307690002</v>
      </c>
      <c r="G85" s="23">
        <v>3.79241261912</v>
      </c>
      <c r="H85" s="24">
        <v>153.238900143</v>
      </c>
    </row>
    <row r="86" spans="1:2" ht="12.75">
      <c r="A86" s="23">
        <v>2.85713727708</v>
      </c>
      <c r="B86" s="24">
        <v>79.0210572333</v>
      </c>
    </row>
    <row r="87" spans="1:2" ht="12.75">
      <c r="A87" s="23">
        <v>3.84132990116</v>
      </c>
      <c r="B87" s="24">
        <v>95.7658837042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/>
  <dimension ref="A1:CF374"/>
  <sheetViews>
    <sheetView tabSelected="1" workbookViewId="0" topLeftCell="A13">
      <selection activeCell="M31" sqref="M31"/>
    </sheetView>
  </sheetViews>
  <sheetFormatPr defaultColWidth="9.140625" defaultRowHeight="12.75"/>
  <cols>
    <col min="1" max="1" width="5.7109375" style="2" customWidth="1"/>
    <col min="2" max="2" width="7.421875" style="2" customWidth="1"/>
    <col min="3" max="3" width="6.8515625" style="11" customWidth="1"/>
    <col min="4" max="4" width="6.7109375" style="5" customWidth="1"/>
    <col min="5" max="5" width="9.28125" style="3" customWidth="1"/>
    <col min="6" max="6" width="6.57421875" style="5" customWidth="1"/>
    <col min="7" max="7" width="8.140625" style="2" customWidth="1"/>
    <col min="8" max="8" width="7.00390625" style="2" customWidth="1"/>
    <col min="9" max="9" width="6.8515625" style="2" customWidth="1"/>
    <col min="10" max="10" width="8.28125" style="2" customWidth="1"/>
    <col min="11" max="11" width="6.7109375" style="11" customWidth="1"/>
    <col min="12" max="12" width="8.57421875" style="2" customWidth="1"/>
    <col min="13" max="13" width="7.28125" style="2" customWidth="1"/>
    <col min="14" max="14" width="7.8515625" style="2" customWidth="1"/>
    <col min="15" max="15" width="7.140625" style="2" customWidth="1"/>
    <col min="16" max="16" width="6.8515625" style="4" customWidth="1"/>
    <col min="17" max="17" width="6.8515625" style="18" customWidth="1"/>
    <col min="18" max="18" width="7.57421875" style="30" customWidth="1"/>
    <col min="19" max="19" width="2.140625" style="30" customWidth="1"/>
    <col min="20" max="20" width="7.28125" style="30" customWidth="1"/>
    <col min="21" max="21" width="7.421875" style="30" customWidth="1"/>
    <col min="22" max="22" width="8.28125" style="30" customWidth="1"/>
    <col min="23" max="23" width="7.7109375" style="30" customWidth="1"/>
    <col min="24" max="27" width="8.00390625" style="30" bestFit="1" customWidth="1"/>
    <col min="28" max="28" width="7.7109375" style="30" customWidth="1"/>
    <col min="29" max="29" width="7.140625" style="0" customWidth="1"/>
    <col min="30" max="33" width="5.8515625" style="0" customWidth="1"/>
    <col min="34" max="75" width="8.7109375" style="0" customWidth="1"/>
    <col min="76" max="16384" width="8.7109375" style="2" customWidth="1"/>
  </cols>
  <sheetData>
    <row r="1" spans="1:16" ht="16.5">
      <c r="A1" s="1" t="s">
        <v>210</v>
      </c>
      <c r="C1" s="14"/>
      <c r="D1" s="1"/>
      <c r="E1" s="1"/>
      <c r="F1" s="1"/>
      <c r="G1" s="17"/>
      <c r="H1" s="5"/>
      <c r="I1" s="19"/>
      <c r="J1" s="166" t="s">
        <v>219</v>
      </c>
      <c r="K1" s="11">
        <f>E29</f>
        <v>1.0001988161646578</v>
      </c>
      <c r="L1" s="5" t="s">
        <v>220</v>
      </c>
      <c r="M1" s="10" t="s">
        <v>221</v>
      </c>
      <c r="N1" s="11">
        <f>E35</f>
        <v>4</v>
      </c>
      <c r="O1" s="5" t="s">
        <v>53</v>
      </c>
      <c r="P1" s="2"/>
    </row>
    <row r="2" spans="1:16" ht="21.75" customHeight="1">
      <c r="A2" s="5" t="s">
        <v>215</v>
      </c>
      <c r="C2" s="14"/>
      <c r="D2" s="1"/>
      <c r="E2" s="1"/>
      <c r="F2" s="1"/>
      <c r="G2" s="17"/>
      <c r="H2" s="5"/>
      <c r="I2" s="19"/>
      <c r="K2" s="125"/>
      <c r="L2" s="5"/>
      <c r="M2" s="5"/>
      <c r="P2" s="2"/>
    </row>
    <row r="3" spans="1:10" ht="16.5">
      <c r="A3" s="5" t="s">
        <v>218</v>
      </c>
      <c r="I3" s="10"/>
      <c r="J3" s="10" t="s">
        <v>114</v>
      </c>
    </row>
    <row r="4" spans="1:9" ht="15" customHeight="1">
      <c r="A4" s="5" t="s">
        <v>216</v>
      </c>
      <c r="H4" s="5"/>
      <c r="I4" s="10"/>
    </row>
    <row r="5" spans="1:10" ht="24" customHeight="1">
      <c r="A5" s="147" t="s">
        <v>0</v>
      </c>
      <c r="B5" s="148"/>
      <c r="C5" s="148"/>
      <c r="D5" s="5" t="s">
        <v>143</v>
      </c>
      <c r="E5" s="3">
        <f>0.00973/2</f>
        <v>0.004865</v>
      </c>
      <c r="F5" s="5" t="s">
        <v>7</v>
      </c>
      <c r="J5" s="10" t="s">
        <v>115</v>
      </c>
    </row>
    <row r="6" spans="1:12" ht="16.5">
      <c r="A6" s="147" t="s">
        <v>1</v>
      </c>
      <c r="B6" s="148"/>
      <c r="C6" s="148"/>
      <c r="D6" s="5" t="s">
        <v>3</v>
      </c>
      <c r="E6" s="3">
        <f>0.001166/2</f>
        <v>0.000583</v>
      </c>
      <c r="F6" s="5" t="s">
        <v>7</v>
      </c>
      <c r="H6" s="5"/>
      <c r="I6" s="10"/>
      <c r="L6" s="2" t="s">
        <v>17</v>
      </c>
    </row>
    <row r="7" spans="1:6" ht="16.5">
      <c r="A7" s="147" t="s">
        <v>2</v>
      </c>
      <c r="B7" s="148"/>
      <c r="C7" s="148"/>
      <c r="D7" s="5" t="s">
        <v>4</v>
      </c>
      <c r="E7" s="3">
        <v>0.074</v>
      </c>
      <c r="F7" s="5" t="s">
        <v>7</v>
      </c>
    </row>
    <row r="8" spans="1:10" ht="16.5" customHeight="1">
      <c r="A8" s="147" t="s">
        <v>5</v>
      </c>
      <c r="B8" s="148"/>
      <c r="C8" s="148"/>
      <c r="D8" s="5" t="s">
        <v>6</v>
      </c>
      <c r="E8" s="3">
        <v>0.06</v>
      </c>
      <c r="F8" s="2" t="s">
        <v>8</v>
      </c>
      <c r="H8" s="48"/>
      <c r="I8" s="36"/>
      <c r="J8" s="10" t="s">
        <v>116</v>
      </c>
    </row>
    <row r="9" spans="1:9" ht="16.5">
      <c r="A9" s="147" t="s">
        <v>11</v>
      </c>
      <c r="B9" s="148"/>
      <c r="C9" s="148"/>
      <c r="D9" s="5" t="s">
        <v>12</v>
      </c>
      <c r="E9" s="3">
        <v>7.4E-05</v>
      </c>
      <c r="F9" s="2" t="s">
        <v>8</v>
      </c>
      <c r="H9" s="49"/>
      <c r="I9" s="36"/>
    </row>
    <row r="10" spans="1:8" ht="16.5">
      <c r="A10" s="147" t="s">
        <v>9</v>
      </c>
      <c r="B10" s="148"/>
      <c r="C10" s="148"/>
      <c r="D10" s="5" t="s">
        <v>10</v>
      </c>
      <c r="E10" s="18">
        <v>30</v>
      </c>
      <c r="H10" s="5" t="s">
        <v>117</v>
      </c>
    </row>
    <row r="11" spans="1:8" ht="18">
      <c r="A11" s="5" t="s">
        <v>211</v>
      </c>
      <c r="B11" s="6"/>
      <c r="C11" s="6"/>
      <c r="D11" s="5" t="s">
        <v>212</v>
      </c>
      <c r="E11" s="165">
        <v>0.324</v>
      </c>
      <c r="F11" s="5" t="s">
        <v>217</v>
      </c>
      <c r="H11" s="5"/>
    </row>
    <row r="12" spans="1:12" ht="18">
      <c r="A12" s="5" t="s">
        <v>213</v>
      </c>
      <c r="B12" s="6"/>
      <c r="C12" s="6"/>
      <c r="D12" s="5" t="s">
        <v>214</v>
      </c>
      <c r="E12" s="165">
        <v>0.2455</v>
      </c>
      <c r="H12" s="5" t="s">
        <v>138</v>
      </c>
      <c r="L12" s="8"/>
    </row>
    <row r="13" spans="1:8" ht="16.5">
      <c r="A13" s="147" t="s">
        <v>14</v>
      </c>
      <c r="B13" s="148"/>
      <c r="C13" s="148"/>
      <c r="D13" s="7" t="s">
        <v>59</v>
      </c>
      <c r="E13" s="3">
        <f>4*PI()*10^-7</f>
        <v>1.2566370614359173E-06</v>
      </c>
      <c r="F13" s="5" t="s">
        <v>15</v>
      </c>
      <c r="H13" s="22"/>
    </row>
    <row r="14" spans="1:8" ht="16.5">
      <c r="A14" s="147" t="s">
        <v>18</v>
      </c>
      <c r="B14" s="148"/>
      <c r="C14" s="148"/>
      <c r="D14" s="7" t="s">
        <v>60</v>
      </c>
      <c r="E14" s="4">
        <v>0.826</v>
      </c>
      <c r="H14" s="22"/>
    </row>
    <row r="15" spans="1:8" ht="16.5">
      <c r="A15" s="147" t="s">
        <v>19</v>
      </c>
      <c r="B15" s="148"/>
      <c r="C15" s="148"/>
      <c r="D15" s="7" t="s">
        <v>20</v>
      </c>
      <c r="E15" s="4">
        <v>0.872</v>
      </c>
      <c r="H15" s="5" t="s">
        <v>118</v>
      </c>
    </row>
    <row r="16" spans="1:5" ht="16.5">
      <c r="A16" s="5" t="s">
        <v>71</v>
      </c>
      <c r="B16" s="6"/>
      <c r="C16" s="6"/>
      <c r="D16" s="5" t="s">
        <v>72</v>
      </c>
      <c r="E16" s="4">
        <v>2.24</v>
      </c>
    </row>
    <row r="17" spans="1:8" ht="16.5">
      <c r="A17" s="147" t="s">
        <v>21</v>
      </c>
      <c r="B17" s="148"/>
      <c r="C17" s="148"/>
      <c r="D17" s="7" t="s">
        <v>61</v>
      </c>
      <c r="E17" s="4">
        <f>1/(1+E16)</f>
        <v>0.30864197530864196</v>
      </c>
      <c r="H17" s="5" t="s">
        <v>139</v>
      </c>
    </row>
    <row r="18" spans="1:75" ht="18.75">
      <c r="A18" s="5" t="s">
        <v>125</v>
      </c>
      <c r="B18" s="36"/>
      <c r="C18" s="36"/>
      <c r="D18" s="25" t="s">
        <v>127</v>
      </c>
      <c r="E18" s="17">
        <v>1.24E-10</v>
      </c>
      <c r="F18" s="5" t="s">
        <v>13</v>
      </c>
      <c r="L18" s="47"/>
      <c r="N18" s="4"/>
      <c r="P18" s="30"/>
      <c r="Q18" s="40"/>
      <c r="AA18"/>
      <c r="AB18"/>
      <c r="BV18" s="2"/>
      <c r="BW18" s="2"/>
    </row>
    <row r="19" spans="1:75" ht="18.75">
      <c r="A19" s="5" t="s">
        <v>126</v>
      </c>
      <c r="B19" s="36"/>
      <c r="C19" s="36"/>
      <c r="D19" s="25" t="s">
        <v>128</v>
      </c>
      <c r="E19" s="17">
        <v>9E-11</v>
      </c>
      <c r="F19" s="5" t="s">
        <v>124</v>
      </c>
      <c r="H19" s="164" t="s">
        <v>95</v>
      </c>
      <c r="I19" s="142"/>
      <c r="J19" s="143"/>
      <c r="L19" s="47"/>
      <c r="N19" s="4"/>
      <c r="P19" s="30"/>
      <c r="Q19" s="40"/>
      <c r="AA19"/>
      <c r="AB19"/>
      <c r="BV19" s="2"/>
      <c r="BW19" s="2"/>
    </row>
    <row r="20" spans="1:76" ht="18.75">
      <c r="A20" s="147" t="s">
        <v>46</v>
      </c>
      <c r="B20" s="148"/>
      <c r="C20" s="148"/>
      <c r="D20" s="9" t="s">
        <v>129</v>
      </c>
      <c r="E20" s="3">
        <v>0.004</v>
      </c>
      <c r="F20" s="2" t="s">
        <v>7</v>
      </c>
      <c r="H20" s="142"/>
      <c r="I20" s="142"/>
      <c r="J20" s="143"/>
      <c r="K20" s="32"/>
      <c r="L20" s="11"/>
      <c r="M20" s="5"/>
      <c r="O20" s="105" t="s">
        <v>163</v>
      </c>
      <c r="P20" s="105" t="s">
        <v>164</v>
      </c>
      <c r="Q20" s="106" t="s">
        <v>166</v>
      </c>
      <c r="R20" s="119" t="s">
        <v>172</v>
      </c>
      <c r="AC20" s="30"/>
      <c r="BX20"/>
    </row>
    <row r="21" spans="1:76" ht="18.75">
      <c r="A21" s="147" t="s">
        <v>35</v>
      </c>
      <c r="B21" s="148"/>
      <c r="C21" s="148"/>
      <c r="D21" s="9" t="s">
        <v>130</v>
      </c>
      <c r="E21" s="3">
        <v>6.02E-06</v>
      </c>
      <c r="F21" s="5" t="s">
        <v>7</v>
      </c>
      <c r="K21" s="2"/>
      <c r="L21" s="125"/>
      <c r="O21" s="107" t="s">
        <v>162</v>
      </c>
      <c r="P21" s="107" t="s">
        <v>162</v>
      </c>
      <c r="Q21" s="108" t="s">
        <v>167</v>
      </c>
      <c r="R21" s="120" t="s">
        <v>173</v>
      </c>
      <c r="AC21" s="30"/>
      <c r="BX21"/>
    </row>
    <row r="22" spans="1:78" ht="18.75">
      <c r="A22" s="147" t="s">
        <v>140</v>
      </c>
      <c r="B22" s="148"/>
      <c r="C22" s="148"/>
      <c r="D22" s="9" t="s">
        <v>62</v>
      </c>
      <c r="E22" s="3">
        <v>35000000000</v>
      </c>
      <c r="F22" s="5" t="s">
        <v>41</v>
      </c>
      <c r="G22" s="3"/>
      <c r="H22" s="5" t="s">
        <v>44</v>
      </c>
      <c r="K22" s="2"/>
      <c r="L22" s="11"/>
      <c r="O22" s="115" t="s">
        <v>165</v>
      </c>
      <c r="P22" s="115" t="s">
        <v>165</v>
      </c>
      <c r="Q22" s="116" t="s">
        <v>87</v>
      </c>
      <c r="R22" s="121" t="s">
        <v>174</v>
      </c>
      <c r="S22" s="2"/>
      <c r="T22" s="2"/>
      <c r="AC22" s="30"/>
      <c r="AD22" s="30"/>
      <c r="AE22" s="30"/>
      <c r="BX22"/>
      <c r="BY22"/>
      <c r="BZ22"/>
    </row>
    <row r="23" spans="1:78" ht="18.75">
      <c r="A23" s="147" t="s">
        <v>140</v>
      </c>
      <c r="B23" s="148"/>
      <c r="C23" s="148"/>
      <c r="D23" s="9" t="s">
        <v>63</v>
      </c>
      <c r="E23" s="13">
        <v>0.149</v>
      </c>
      <c r="F23" s="5" t="s">
        <v>22</v>
      </c>
      <c r="H23" s="2" t="s">
        <v>45</v>
      </c>
      <c r="I23" s="2" t="s">
        <v>64</v>
      </c>
      <c r="J23" s="2" t="s">
        <v>65</v>
      </c>
      <c r="K23" s="2"/>
      <c r="L23" s="11"/>
      <c r="M23" s="110"/>
      <c r="N23" s="111" t="s">
        <v>222</v>
      </c>
      <c r="O23" s="134">
        <f>K109*4*J28</f>
        <v>0.21473021195459868</v>
      </c>
      <c r="P23" s="107"/>
      <c r="Q23" s="108">
        <f>O23*2*E$34</f>
        <v>0.10738645189588783</v>
      </c>
      <c r="R23" s="117">
        <f aca="true" t="shared" si="0" ref="R23:R28">Q23/Q$30</f>
        <v>0.003981482183461742</v>
      </c>
      <c r="S23" s="2"/>
      <c r="T23" s="2"/>
      <c r="AC23" s="30"/>
      <c r="AD23" s="30"/>
      <c r="AE23" s="30"/>
      <c r="BX23"/>
      <c r="BY23"/>
      <c r="BZ23"/>
    </row>
    <row r="24" spans="1:77" ht="18.75">
      <c r="A24" s="147" t="s">
        <v>140</v>
      </c>
      <c r="B24" s="148"/>
      <c r="C24" s="148"/>
      <c r="D24" s="9" t="s">
        <v>66</v>
      </c>
      <c r="E24" s="3">
        <v>5000000000</v>
      </c>
      <c r="F24" s="5" t="s">
        <v>41</v>
      </c>
      <c r="H24" s="2">
        <v>1</v>
      </c>
      <c r="I24" s="15">
        <v>0</v>
      </c>
      <c r="J24" s="15">
        <v>15.673373548625944</v>
      </c>
      <c r="K24" s="15"/>
      <c r="L24" s="11"/>
      <c r="M24" s="78"/>
      <c r="N24" s="112" t="s">
        <v>171</v>
      </c>
      <c r="O24" s="134">
        <f>L109*4*J28</f>
        <v>9.246247771191275</v>
      </c>
      <c r="P24" s="107"/>
      <c r="Q24" s="108">
        <f>O24*2*E$34</f>
        <v>4.624043037355309</v>
      </c>
      <c r="R24" s="117">
        <f t="shared" si="0"/>
        <v>0.17144197097264818</v>
      </c>
      <c r="S24" s="2"/>
      <c r="T24" s="2"/>
      <c r="AC24" s="30"/>
      <c r="AD24" s="30"/>
      <c r="AE24" s="30"/>
      <c r="BX24"/>
      <c r="BY24"/>
    </row>
    <row r="25" spans="1:77" ht="18.75">
      <c r="A25" s="147" t="s">
        <v>140</v>
      </c>
      <c r="B25" s="148"/>
      <c r="C25" s="148"/>
      <c r="D25" s="9" t="s">
        <v>67</v>
      </c>
      <c r="E25" s="33">
        <v>-700000000</v>
      </c>
      <c r="F25" s="5" t="s">
        <v>48</v>
      </c>
      <c r="H25" s="2">
        <v>2</v>
      </c>
      <c r="I25" s="15">
        <v>17.081863443783423</v>
      </c>
      <c r="J25" s="15">
        <v>36.23820889210402</v>
      </c>
      <c r="K25" s="15"/>
      <c r="L25" s="11"/>
      <c r="M25" s="78"/>
      <c r="N25" s="113" t="s">
        <v>168</v>
      </c>
      <c r="O25" s="134">
        <f>M109*4*J28</f>
        <v>0.1347818638811195</v>
      </c>
      <c r="P25" s="109"/>
      <c r="Q25" s="108">
        <f>O25*2*E$34</f>
        <v>0.0674043303471809</v>
      </c>
      <c r="R25" s="117">
        <f t="shared" si="0"/>
        <v>0.0024990968192678225</v>
      </c>
      <c r="S25" s="2"/>
      <c r="T25"/>
      <c r="AC25" s="30"/>
      <c r="AD25" s="30"/>
      <c r="AE25" s="30"/>
      <c r="BX25"/>
      <c r="BY25"/>
    </row>
    <row r="26" spans="1:77" ht="18.75">
      <c r="A26" s="147" t="s">
        <v>40</v>
      </c>
      <c r="B26" s="148"/>
      <c r="C26" s="148"/>
      <c r="D26" s="9" t="s">
        <v>141</v>
      </c>
      <c r="E26" s="3">
        <v>32000000000</v>
      </c>
      <c r="F26" s="5" t="s">
        <v>41</v>
      </c>
      <c r="H26" s="2">
        <v>3</v>
      </c>
      <c r="I26" s="15">
        <v>41.284249216564326</v>
      </c>
      <c r="J26" s="15">
        <v>55.21613681534294</v>
      </c>
      <c r="K26" s="15"/>
      <c r="L26" s="11"/>
      <c r="M26" s="114"/>
      <c r="N26" s="112" t="s">
        <v>169</v>
      </c>
      <c r="O26" s="134">
        <f>N109*4*J28</f>
        <v>15.646772959867281</v>
      </c>
      <c r="P26" s="107"/>
      <c r="Q26" s="108">
        <f>O26*2*E$34</f>
        <v>7.824941895628217</v>
      </c>
      <c r="R26" s="117">
        <f t="shared" si="0"/>
        <v>0.2901191555734799</v>
      </c>
      <c r="S26" s="2"/>
      <c r="T26"/>
      <c r="AC26" s="30"/>
      <c r="AD26" s="30"/>
      <c r="AE26" s="30"/>
      <c r="BX26"/>
      <c r="BY26"/>
    </row>
    <row r="27" spans="1:77" ht="18.75">
      <c r="A27" s="147" t="s">
        <v>40</v>
      </c>
      <c r="B27" s="148"/>
      <c r="C27" s="148"/>
      <c r="D27" s="9" t="s">
        <v>142</v>
      </c>
      <c r="E27" s="2">
        <v>0.5</v>
      </c>
      <c r="F27" s="5" t="s">
        <v>22</v>
      </c>
      <c r="H27" s="2">
        <v>4</v>
      </c>
      <c r="I27" s="15">
        <v>66.20526072708387</v>
      </c>
      <c r="J27" s="15">
        <v>73.17120452647318</v>
      </c>
      <c r="K27" s="15"/>
      <c r="L27" s="11"/>
      <c r="M27" s="131"/>
      <c r="N27" s="50" t="s">
        <v>170</v>
      </c>
      <c r="O27" s="135">
        <f>O109*4*J28</f>
        <v>28.664726764340195</v>
      </c>
      <c r="P27" s="132"/>
      <c r="Q27" s="106">
        <f>O27*2*E$34</f>
        <v>14.335212887688222</v>
      </c>
      <c r="R27" s="133">
        <f t="shared" si="0"/>
        <v>0.531495302254673</v>
      </c>
      <c r="S27" s="12"/>
      <c r="T27"/>
      <c r="AC27" s="30"/>
      <c r="AD27" s="30"/>
      <c r="AE27" s="30"/>
      <c r="BX27"/>
      <c r="BY27"/>
    </row>
    <row r="28" spans="1:76" ht="16.5">
      <c r="A28" s="5" t="s">
        <v>96</v>
      </c>
      <c r="B28" s="6"/>
      <c r="C28" s="6"/>
      <c r="D28" s="5" t="s">
        <v>90</v>
      </c>
      <c r="E28" s="18">
        <v>1492</v>
      </c>
      <c r="F28" s="5" t="s">
        <v>94</v>
      </c>
      <c r="I28" s="10" t="s">
        <v>51</v>
      </c>
      <c r="J28" s="15">
        <f>245*2.54*12/100/32/2</f>
        <v>1.1668124999999998</v>
      </c>
      <c r="K28" s="125" t="s">
        <v>50</v>
      </c>
      <c r="L28" s="125"/>
      <c r="M28" s="114"/>
      <c r="N28" s="112" t="s">
        <v>180</v>
      </c>
      <c r="O28" s="134">
        <f>P109*4*J28</f>
        <v>0.024970201522983283</v>
      </c>
      <c r="P28" s="127"/>
      <c r="Q28" s="108">
        <f>O28*2*E$34</f>
        <v>0.012487583001340407</v>
      </c>
      <c r="R28" s="117">
        <f t="shared" si="0"/>
        <v>0.000462992196469436</v>
      </c>
      <c r="S28" s="12"/>
      <c r="T28"/>
      <c r="AC28" s="30"/>
      <c r="AD28" s="30"/>
      <c r="AE28" s="30"/>
      <c r="BX28"/>
    </row>
    <row r="29" spans="1:76" ht="16.5">
      <c r="A29" s="147" t="s">
        <v>97</v>
      </c>
      <c r="B29" s="148"/>
      <c r="C29" s="148"/>
      <c r="D29" s="5" t="s">
        <v>91</v>
      </c>
      <c r="E29" s="4">
        <f>P34*E28+P35*E28^P36</f>
        <v>1.0001988161646578</v>
      </c>
      <c r="F29" s="5" t="s">
        <v>22</v>
      </c>
      <c r="H29" s="5"/>
      <c r="I29" s="10" t="s">
        <v>55</v>
      </c>
      <c r="J29" s="3">
        <v>7.888866402398716E-06</v>
      </c>
      <c r="K29" s="125" t="s">
        <v>36</v>
      </c>
      <c r="L29" s="125"/>
      <c r="M29" s="128"/>
      <c r="N29" s="109" t="s">
        <v>181</v>
      </c>
      <c r="O29" s="134">
        <f>O27+O28</f>
        <v>28.689696965863178</v>
      </c>
      <c r="P29" s="109"/>
      <c r="Q29" s="116">
        <f>O29*2*E$34</f>
        <v>14.347700470689562</v>
      </c>
      <c r="R29" s="117">
        <f>Q29/Q30</f>
        <v>0.5319582944511424</v>
      </c>
      <c r="S29" s="12"/>
      <c r="T29"/>
      <c r="AC29" s="30"/>
      <c r="AD29" s="30"/>
      <c r="AE29" s="30"/>
      <c r="BX29"/>
    </row>
    <row r="30" spans="1:76" ht="16.5">
      <c r="A30" s="147" t="s">
        <v>23</v>
      </c>
      <c r="B30" s="148"/>
      <c r="C30" s="148"/>
      <c r="D30" s="5" t="s">
        <v>49</v>
      </c>
      <c r="E30" s="13">
        <v>2.1215</v>
      </c>
      <c r="F30" s="5" t="s">
        <v>22</v>
      </c>
      <c r="H30" s="10"/>
      <c r="I30" s="10" t="s">
        <v>56</v>
      </c>
      <c r="K30" s="125" t="s">
        <v>16</v>
      </c>
      <c r="L30" s="125"/>
      <c r="M30" s="129"/>
      <c r="N30" s="130" t="s">
        <v>182</v>
      </c>
      <c r="O30" s="136">
        <f>SUM(O23:O26)+O29</f>
        <v>53.93222977275745</v>
      </c>
      <c r="P30" s="130"/>
      <c r="Q30" s="137">
        <f>O30*2*E$34</f>
        <v>26.971476185916156</v>
      </c>
      <c r="R30" s="138">
        <f>SUM(R23:R26)+R29</f>
        <v>1</v>
      </c>
      <c r="S30" s="4"/>
      <c r="T30"/>
      <c r="AC30" s="30"/>
      <c r="AD30" s="30"/>
      <c r="AE30" s="30"/>
      <c r="BX30"/>
    </row>
    <row r="31" spans="1:76" ht="16.5">
      <c r="A31" s="5" t="s">
        <v>98</v>
      </c>
      <c r="B31" s="6"/>
      <c r="C31" s="6"/>
      <c r="D31" s="5" t="s">
        <v>92</v>
      </c>
      <c r="E31" s="18">
        <v>1</v>
      </c>
      <c r="F31" s="5" t="s">
        <v>94</v>
      </c>
      <c r="H31" s="10"/>
      <c r="I31" s="10" t="s">
        <v>69</v>
      </c>
      <c r="J31" s="15"/>
      <c r="L31" s="15"/>
      <c r="M31" s="5"/>
      <c r="O31" s="10"/>
      <c r="P31" s="16"/>
      <c r="R31" s="4"/>
      <c r="S31"/>
      <c r="AC31" s="30"/>
      <c r="AD31" s="30"/>
      <c r="BX31"/>
    </row>
    <row r="32" spans="1:76" ht="16.5">
      <c r="A32" s="147" t="s">
        <v>99</v>
      </c>
      <c r="B32" s="148"/>
      <c r="C32" s="148"/>
      <c r="D32" s="5" t="s">
        <v>86</v>
      </c>
      <c r="E32" s="15">
        <v>0</v>
      </c>
      <c r="F32" s="5" t="s">
        <v>22</v>
      </c>
      <c r="I32" s="10"/>
      <c r="J32" s="27"/>
      <c r="K32" s="38"/>
      <c r="L32" s="27"/>
      <c r="M32" s="5"/>
      <c r="O32" s="10"/>
      <c r="P32" s="16"/>
      <c r="R32" s="2"/>
      <c r="S32" s="4"/>
      <c r="AC32" s="30"/>
      <c r="AD32" s="30"/>
      <c r="BX32"/>
    </row>
    <row r="33" spans="1:83" ht="18">
      <c r="A33" s="147" t="s">
        <v>68</v>
      </c>
      <c r="B33" s="148"/>
      <c r="C33" s="148"/>
      <c r="D33" s="5" t="s">
        <v>149</v>
      </c>
      <c r="E33" s="15">
        <f>E32/E29</f>
        <v>0</v>
      </c>
      <c r="H33" s="5" t="s">
        <v>132</v>
      </c>
      <c r="I33" s="6"/>
      <c r="J33" s="20"/>
      <c r="K33" s="5" t="s">
        <v>135</v>
      </c>
      <c r="L33" s="15">
        <v>1</v>
      </c>
      <c r="M33" s="5"/>
      <c r="O33" s="10" t="s">
        <v>175</v>
      </c>
      <c r="P33" s="10"/>
      <c r="Q33" s="27"/>
      <c r="R33" s="38"/>
      <c r="S33" s="27"/>
      <c r="T33" s="5"/>
      <c r="U33" s="2"/>
      <c r="V33" s="10"/>
      <c r="W33" s="16"/>
      <c r="X33" s="18"/>
      <c r="Y33" s="3"/>
      <c r="Z33"/>
      <c r="AC33" s="30"/>
      <c r="AD33" s="30"/>
      <c r="AE33" s="30"/>
      <c r="AF33" s="30"/>
      <c r="AG33" s="30"/>
      <c r="AH33" s="30"/>
      <c r="AI33" s="30"/>
      <c r="AJ33" s="30"/>
      <c r="AK33" s="30"/>
      <c r="BX33"/>
      <c r="BY33"/>
      <c r="BZ33"/>
      <c r="CA33"/>
      <c r="CB33"/>
      <c r="CC33"/>
      <c r="CD33"/>
      <c r="CE33"/>
    </row>
    <row r="34" spans="1:84" ht="18">
      <c r="A34" s="147" t="s">
        <v>24</v>
      </c>
      <c r="B34" s="148"/>
      <c r="C34" s="148"/>
      <c r="D34" s="5" t="s">
        <v>57</v>
      </c>
      <c r="E34" s="4">
        <f>(E29-E32)/E35</f>
        <v>0.25004970404116444</v>
      </c>
      <c r="F34" s="5" t="s">
        <v>16</v>
      </c>
      <c r="H34" s="5" t="s">
        <v>131</v>
      </c>
      <c r="I34" s="6"/>
      <c r="J34" s="20"/>
      <c r="K34" s="5" t="s">
        <v>136</v>
      </c>
      <c r="L34" s="15">
        <v>2</v>
      </c>
      <c r="M34" s="5"/>
      <c r="O34" s="10" t="s">
        <v>204</v>
      </c>
      <c r="P34" s="160">
        <v>0.0009023255298815842</v>
      </c>
      <c r="Q34" s="161"/>
      <c r="R34" s="38"/>
      <c r="S34" s="27"/>
      <c r="T34" s="5"/>
      <c r="U34" s="2"/>
      <c r="V34" s="10"/>
      <c r="W34" s="29"/>
      <c r="X34" s="18"/>
      <c r="Y34" s="3"/>
      <c r="Z34"/>
      <c r="AC34" s="30"/>
      <c r="AD34" s="30"/>
      <c r="AE34" s="30"/>
      <c r="AF34" s="30"/>
      <c r="AG34" s="30"/>
      <c r="AH34" s="30"/>
      <c r="AI34" s="30"/>
      <c r="AJ34" s="30"/>
      <c r="AK34" s="30"/>
      <c r="BX34"/>
      <c r="BY34"/>
      <c r="BZ34"/>
      <c r="CA34"/>
      <c r="CB34"/>
      <c r="CC34"/>
      <c r="CD34"/>
      <c r="CE34"/>
      <c r="CF34"/>
    </row>
    <row r="35" spans="1:82" ht="18">
      <c r="A35" s="147" t="s">
        <v>52</v>
      </c>
      <c r="B35" s="148"/>
      <c r="C35" s="148"/>
      <c r="D35" s="5" t="s">
        <v>54</v>
      </c>
      <c r="E35" s="15">
        <v>4</v>
      </c>
      <c r="F35" s="5" t="s">
        <v>53</v>
      </c>
      <c r="H35" s="5" t="s">
        <v>133</v>
      </c>
      <c r="I35" s="6"/>
      <c r="J35" s="20"/>
      <c r="K35" s="5" t="s">
        <v>137</v>
      </c>
      <c r="L35" s="15">
        <v>1</v>
      </c>
      <c r="M35" s="5"/>
      <c r="O35" s="10" t="s">
        <v>205</v>
      </c>
      <c r="P35" s="162">
        <v>-5.378266220120102E-05</v>
      </c>
      <c r="Q35" s="163"/>
      <c r="R35" s="38"/>
      <c r="S35" s="5"/>
      <c r="T35" s="2"/>
      <c r="U35" s="10"/>
      <c r="V35" s="29"/>
      <c r="W35" s="16"/>
      <c r="X35" s="18"/>
      <c r="Y35"/>
      <c r="AC35" s="30"/>
      <c r="AD35" s="30"/>
      <c r="AE35" s="30"/>
      <c r="AF35" s="30"/>
      <c r="AG35" s="30"/>
      <c r="AH35" s="30"/>
      <c r="AI35" s="30"/>
      <c r="AJ35" s="30"/>
      <c r="BX35"/>
      <c r="BY35"/>
      <c r="BZ35"/>
      <c r="CA35"/>
      <c r="CB35"/>
      <c r="CC35"/>
      <c r="CD35"/>
    </row>
    <row r="36" spans="3:81" ht="16.5">
      <c r="C36" s="2"/>
      <c r="D36" s="2"/>
      <c r="E36" s="2"/>
      <c r="F36" s="2"/>
      <c r="H36" s="5" t="s">
        <v>134</v>
      </c>
      <c r="I36" s="6"/>
      <c r="J36" s="20"/>
      <c r="K36" s="5" t="s">
        <v>70</v>
      </c>
      <c r="L36" s="15">
        <v>1</v>
      </c>
      <c r="M36" s="5"/>
      <c r="O36" s="10" t="s">
        <v>93</v>
      </c>
      <c r="P36" s="27">
        <v>1.2000000525728414</v>
      </c>
      <c r="Q36" s="10"/>
      <c r="R36" s="38"/>
      <c r="S36" s="5"/>
      <c r="T36" s="2"/>
      <c r="U36" s="10"/>
      <c r="V36" s="29"/>
      <c r="W36" s="16"/>
      <c r="X36" s="18"/>
      <c r="Y36"/>
      <c r="AC36" s="30"/>
      <c r="AD36" s="30"/>
      <c r="AE36" s="30"/>
      <c r="AF36" s="30"/>
      <c r="AG36" s="30"/>
      <c r="AH36" s="30"/>
      <c r="AI36" s="30"/>
      <c r="AJ36" s="30"/>
      <c r="BX36"/>
      <c r="BY36"/>
      <c r="BZ36"/>
      <c r="CA36"/>
      <c r="CB36"/>
      <c r="CC36"/>
    </row>
    <row r="37" spans="16:77" ht="15.75" customHeight="1">
      <c r="P37" s="2"/>
      <c r="Q37" s="122" t="s">
        <v>147</v>
      </c>
      <c r="R37" s="56" t="s">
        <v>160</v>
      </c>
      <c r="S37" s="4"/>
      <c r="T37" s="152" t="s">
        <v>73</v>
      </c>
      <c r="U37" s="159"/>
      <c r="V37" s="159"/>
      <c r="W37" s="159"/>
      <c r="X37" s="159"/>
      <c r="Y37" s="159"/>
      <c r="Z37" s="159"/>
      <c r="AA37" s="159"/>
      <c r="AB37" s="159"/>
      <c r="AC37" s="146"/>
      <c r="AD37" s="30"/>
      <c r="BX37"/>
      <c r="BY37"/>
    </row>
    <row r="38" spans="1:77" ht="18">
      <c r="A38" s="149" t="s">
        <v>47</v>
      </c>
      <c r="B38" s="150"/>
      <c r="C38" s="150"/>
      <c r="D38" s="150"/>
      <c r="E38" s="151"/>
      <c r="F38" s="156" t="s">
        <v>144</v>
      </c>
      <c r="G38" s="157"/>
      <c r="H38" s="157"/>
      <c r="I38" s="157"/>
      <c r="J38" s="158"/>
      <c r="K38" s="149" t="s">
        <v>146</v>
      </c>
      <c r="L38" s="150"/>
      <c r="M38" s="150"/>
      <c r="N38" s="150"/>
      <c r="O38" s="150"/>
      <c r="P38" s="158"/>
      <c r="Q38" s="123" t="s">
        <v>179</v>
      </c>
      <c r="R38" s="57" t="s">
        <v>176</v>
      </c>
      <c r="S38" s="4"/>
      <c r="T38" s="152" t="s">
        <v>74</v>
      </c>
      <c r="U38" s="153"/>
      <c r="V38" s="153"/>
      <c r="W38" s="153"/>
      <c r="X38" s="154"/>
      <c r="Y38" s="152" t="s">
        <v>75</v>
      </c>
      <c r="Z38" s="153"/>
      <c r="AA38" s="153"/>
      <c r="AB38" s="153"/>
      <c r="AC38" s="155"/>
      <c r="AD38" s="144" t="s">
        <v>145</v>
      </c>
      <c r="AE38" s="145"/>
      <c r="AF38" s="145"/>
      <c r="AG38" s="145"/>
      <c r="AH38" s="146"/>
      <c r="BX38"/>
      <c r="BY38"/>
    </row>
    <row r="39" spans="1:76" ht="16.5">
      <c r="A39" s="51" t="s">
        <v>25</v>
      </c>
      <c r="B39" s="52" t="s">
        <v>26</v>
      </c>
      <c r="C39" s="53" t="s">
        <v>27</v>
      </c>
      <c r="D39" s="54" t="s">
        <v>28</v>
      </c>
      <c r="E39" s="55" t="s">
        <v>30</v>
      </c>
      <c r="F39" s="45" t="s">
        <v>29</v>
      </c>
      <c r="G39" s="54" t="s">
        <v>37</v>
      </c>
      <c r="H39" s="54" t="s">
        <v>38</v>
      </c>
      <c r="I39" s="46" t="s">
        <v>39</v>
      </c>
      <c r="J39" s="55" t="s">
        <v>30</v>
      </c>
      <c r="K39" s="90" t="s">
        <v>31</v>
      </c>
      <c r="L39" s="52" t="s">
        <v>32</v>
      </c>
      <c r="M39" s="52" t="s">
        <v>33</v>
      </c>
      <c r="N39" s="52" t="s">
        <v>34</v>
      </c>
      <c r="O39" s="52" t="s">
        <v>177</v>
      </c>
      <c r="P39" s="118" t="s">
        <v>178</v>
      </c>
      <c r="Q39" s="124" t="s">
        <v>42</v>
      </c>
      <c r="R39" s="58" t="s">
        <v>43</v>
      </c>
      <c r="S39"/>
      <c r="T39" s="59" t="s">
        <v>76</v>
      </c>
      <c r="U39" s="60" t="s">
        <v>77</v>
      </c>
      <c r="V39" s="60" t="s">
        <v>78</v>
      </c>
      <c r="W39" s="60" t="s">
        <v>79</v>
      </c>
      <c r="X39" s="61" t="s">
        <v>80</v>
      </c>
      <c r="Y39" s="59" t="s">
        <v>81</v>
      </c>
      <c r="Z39" s="60" t="s">
        <v>82</v>
      </c>
      <c r="AA39" s="60" t="s">
        <v>83</v>
      </c>
      <c r="AB39" s="60" t="s">
        <v>84</v>
      </c>
      <c r="AC39" s="61" t="s">
        <v>85</v>
      </c>
      <c r="AD39" s="59" t="s">
        <v>119</v>
      </c>
      <c r="AE39" s="62" t="s">
        <v>120</v>
      </c>
      <c r="AF39" s="62" t="s">
        <v>121</v>
      </c>
      <c r="AG39" s="62" t="s">
        <v>122</v>
      </c>
      <c r="AH39" s="63" t="s">
        <v>123</v>
      </c>
      <c r="BX39"/>
    </row>
    <row r="40" spans="1:76" ht="16.5">
      <c r="A40" s="18">
        <v>0</v>
      </c>
      <c r="B40" s="4">
        <v>-0.8219977069090909</v>
      </c>
      <c r="C40" s="11">
        <v>244.26680129999903</v>
      </c>
      <c r="D40" s="4">
        <v>-7.829455454545454E-06</v>
      </c>
      <c r="E40" s="4">
        <f aca="true" t="shared" si="1" ref="E40:E56">SQRT(B40^2+D40^2)</f>
        <v>0.8219977069463784</v>
      </c>
      <c r="F40" s="83">
        <f aca="true" t="shared" si="2" ref="F40:F56">-B40*$E$29*(1-$E$33)/$E$30/$E$34</f>
        <v>1.54984248297731</v>
      </c>
      <c r="G40" s="86">
        <f aca="true" t="shared" si="3" ref="G40:G56">C40*$E$29*(1-$E$33)/$E$30/$E$34</f>
        <v>460.5548928588244</v>
      </c>
      <c r="H40" s="88">
        <f aca="true" t="shared" si="4" ref="H40:H56">-D40*$E$29*(1-$E$33)/$E$30/$E$34</f>
        <v>1.4762112570436868E-05</v>
      </c>
      <c r="I40" s="88">
        <f aca="true" t="shared" si="5" ref="I40:I56">E40*$E$29*(1-$E$33)/$E$30/$E$34</f>
        <v>1.549842483047614</v>
      </c>
      <c r="J40" s="56">
        <f>E40*E$29/E$30</f>
        <v>0.38753765419647934</v>
      </c>
      <c r="K40" s="11">
        <f>L$33*E$14/120*F40^2/E$8*E$7*E$10*(E$10-1)*E$5/E$6</f>
        <v>148.04301988427312</v>
      </c>
      <c r="L40" s="11">
        <f>L$34*E$14/6*F40^2/E$9*E$7*E$5/E$6*(1+(G40*E$5/F40)^2/15)</f>
        <v>6287.816726113666</v>
      </c>
      <c r="M40" s="15">
        <f>L$35*E$14/8*H40^2/E$9*E$7*E$6/E$5</f>
        <v>2.6963284617089126E-09</v>
      </c>
      <c r="N40" s="11">
        <f>E$14*E$15*(E$12/E$11)^2*J40*(1-E$33)/E$34^2*(E$20/2/PI())^2/E$19*LN((E$18+E$19*J40)/(E$18+E$19*E$33*J40))</f>
        <v>2860.8198617490716</v>
      </c>
      <c r="O40" s="11">
        <f aca="true" t="shared" si="6" ref="O40:O56">(Y40+Z40+AA40+AB40+AC40)/5</f>
        <v>9206.473973359043</v>
      </c>
      <c r="P40" s="11">
        <f aca="true" t="shared" si="7" ref="P40:P56">(AD40+AE40+AF40+AG40+AH40)/5</f>
        <v>6.522905564468052</v>
      </c>
      <c r="Q40" s="122">
        <f aca="true" t="shared" si="8" ref="Q40:Q56">SUM(K40:P40)</f>
        <v>18509.67648667322</v>
      </c>
      <c r="R40" s="91">
        <f aca="true" t="shared" si="9" ref="R40:R55">Q40*J$29</f>
        <v>0.14602036495498585</v>
      </c>
      <c r="S40" s="28"/>
      <c r="T40" s="93">
        <f>SQRT(($B40-$C40*0.8*$E$5)^2+$D40^2)*$E$29/$E$30</f>
        <v>0.8357466584206502</v>
      </c>
      <c r="U40" s="94">
        <f>SQRT(($B40-$C40*0.4*$E$5)^2+$D40^2)*$E$29/$E$30</f>
        <v>0.6116421563068375</v>
      </c>
      <c r="V40" s="94">
        <f>SQRT(($B40)^2+$D40^2)*$E$29/$E$30</f>
        <v>0.38753765419647934</v>
      </c>
      <c r="W40" s="94">
        <f>SQRT(($B40+$C40*0.4*$E$5)^2+$D40^2)*$E$29/$E$30</f>
        <v>0.16343315210378548</v>
      </c>
      <c r="X40" s="95">
        <f>SQRT(($B40+$C40*0.8*$E$5)^2+$D40^2)*$E$29/$E$30</f>
        <v>0.060671350166987534</v>
      </c>
      <c r="Y40" s="82">
        <f>$L$36*$E$14*$E$15*$E$17/$E$34*2/3*$E$21/PI()*($E$22*$E$23*LN((T40+$E$23)/($E$33*T40+$E$23))+$E$24*T40*(1-$E$33)+$E$25*T40^2/2*(1-$E$33^2))</f>
        <v>15653.363677675923</v>
      </c>
      <c r="Z40" s="82">
        <f>$L$36*$E$14*$E$15*$E$17/$E$34*2/3*$E$21/PI()*($E$22*$E$23*LN((U40+$E$23)/($E$33*U40+$E$23))+$E$24*U40*(1-$E$33)+$E$25*U40^2/2*(1-$E$33^2))</f>
        <v>12980.2546817779</v>
      </c>
      <c r="AA40" s="82">
        <f>$L$36*$E$14*$E$15*$E$17/$E$34*2/3*$E$21/PI()*($E$22*$E$23*LN((V40+$E$23)/($E$33*V40+$E$23))+$E$24*V40*(1-$E$33)+$E$25*V40^2/2*(1-$E$33^2))</f>
        <v>9729.388675373117</v>
      </c>
      <c r="AB40" s="82">
        <f>$L$36*$E$14*$E$15*$E$17/$E$34*2/3*$E$21/PI()*($E$22*$E$23*LN((W40+$E$23)/($E$33*W40+$E$23))+$E$24*W40*(1-$E$33)+$E$25*W40^2/2*(1-$E$33^2))</f>
        <v>5303.05527924914</v>
      </c>
      <c r="AC40" s="82">
        <f>$L$36*$E$14*$E$15*$E$17/$E$34*2/3*$E$21/PI()*($E$22*$E$23*LN((X40+$E$23)/($E$33*X40+$E$23))+$E$24*X40*(1-$E$33)+$E$25*X40^2/2*(1-$E$33^2))</f>
        <v>2366.3075527191368</v>
      </c>
      <c r="AD40" s="69">
        <f>1/9/PI()*$E$21/$E$34*$E$28^2*T40*(3*T40+4*$E$27)/($E$26*$E$27*$E$14*$E$15*$E$17*16*$E$5^2*$E$6^2)</f>
        <v>15.595756820241524</v>
      </c>
      <c r="AE40" s="70">
        <f>1/9/PI()*$E$21/$E$34*$E$28^2*U40*(3*U40+4*$E$27)/($E$26*$E$27*$E$14*$E$15*$E$17*16*$E$5^2*$E$6^2)</f>
        <v>9.711259881341876</v>
      </c>
      <c r="AF40" s="70">
        <f>1/9/PI()*$E$21/$E$34*$E$28^2*V40*(3*V40+4*$E$27)/($E$26*$E$27*$E$14*$E$15*$E$17*16*$E$5^2*$E$6^2)</f>
        <v>5.074357689461907</v>
      </c>
      <c r="AG40" s="70">
        <f>1/9/PI()*$E$21/$E$34*$E$28^2*W40*(3*W40+4*$E$27)/($E$26*$E$27*$E$14*$E$15*$E$17*16*$E$5^2*$E$6^2)</f>
        <v>1.685050244719269</v>
      </c>
      <c r="AH40" s="71">
        <f>1/9/PI()*$E$21/$E$34*$E$28^2*X40*(3*X40+4*$E$27)/($E$26*$E$27*$E$14*$E$15*$E$17*16*$E$5^2*$E$6^2)</f>
        <v>0.5481031865756819</v>
      </c>
      <c r="AI40" s="28"/>
      <c r="BX40"/>
    </row>
    <row r="41" spans="1:76" ht="16.5">
      <c r="A41" s="18">
        <v>1</v>
      </c>
      <c r="B41" s="4">
        <v>-0.8217296287421121</v>
      </c>
      <c r="C41" s="11">
        <v>246.64712192512508</v>
      </c>
      <c r="D41" s="4">
        <v>-0.004352904612639874</v>
      </c>
      <c r="E41" s="4">
        <f t="shared" si="1"/>
        <v>0.8217411578661593</v>
      </c>
      <c r="F41" s="84">
        <f t="shared" si="2"/>
        <v>1.5493370327449674</v>
      </c>
      <c r="G41" s="87">
        <f t="shared" si="3"/>
        <v>465.04288838109835</v>
      </c>
      <c r="H41" s="89">
        <f t="shared" si="4"/>
        <v>0.008207220575328538</v>
      </c>
      <c r="I41" s="89">
        <f t="shared" si="5"/>
        <v>1.5493587704287708</v>
      </c>
      <c r="J41" s="57">
        <f>E41*E$29/E$30</f>
        <v>0.38741670199929656</v>
      </c>
      <c r="K41" s="11">
        <f>L$33*E$14/120*F41^2/E$8*E$7*E$10*(E$10-1)*E$5/E$6</f>
        <v>147.94647307035254</v>
      </c>
      <c r="L41" s="11">
        <f>L$34*E$14/6*F41^2/E$9*E$7*E$5/E$6*(1+(G41*E$5/F41)^2/15)</f>
        <v>6299.2774954650395</v>
      </c>
      <c r="M41" s="15">
        <f>L$35*E$14/8*H41^2/E$9*E$7*E$6/E$5</f>
        <v>0.0008334277977954636</v>
      </c>
      <c r="N41" s="11">
        <f>E$14*E$15*(E$12/E$11)^2*J41*(1-E$33)/E$34^2*(E$20/2/PI())^2/E$19*LN((E$18+E$19*J41)/(E$18+E$19*E$33*J41))</f>
        <v>2859.1363829789525</v>
      </c>
      <c r="O41" s="11">
        <f t="shared" si="6"/>
        <v>9239.875162045948</v>
      </c>
      <c r="P41" s="11">
        <f t="shared" si="7"/>
        <v>6.560107370363843</v>
      </c>
      <c r="Q41" s="123">
        <f t="shared" si="8"/>
        <v>18552.796454358457</v>
      </c>
      <c r="R41" s="91">
        <f t="shared" si="9"/>
        <v>0.14636053261933046</v>
      </c>
      <c r="S41" s="28"/>
      <c r="T41" s="79">
        <f>SQRT(($B41-$C41*0.8*$E$5)^2+$D41^2)*$E$29/$E$30</f>
        <v>0.8399904654931648</v>
      </c>
      <c r="U41" s="80">
        <f>SQRT(($B41-$C41*0.4*$E$5)^2+$D41^2)*$E$29/$E$30</f>
        <v>0.6137030438267453</v>
      </c>
      <c r="V41" s="80">
        <f>SQRT(($B41)^2+$D41^2)*$E$29/$E$30</f>
        <v>0.38741670199929656</v>
      </c>
      <c r="W41" s="80">
        <f>SQRT(($B41+$C41*0.4*$E$5)^2+$D41^2)*$E$29/$E$30</f>
        <v>0.1611359893904002</v>
      </c>
      <c r="X41" s="81">
        <f>SQRT(($B41+$C41*0.8*$E$5)^2+$D41^2)*$E$29/$E$30</f>
        <v>0.06519773208207663</v>
      </c>
      <c r="Y41" s="82">
        <f>$L$36*$E$14*$E$15*$E$17/$E$34*2/3*$E$21/PI()*($E$22*$E$23*LN((T41+$E$23)/($E$33*T41+$E$23))+$E$24*T41*(1-$E$33)+$E$25*T41^2/2*(1-$E$33^2))</f>
        <v>15700.106346342665</v>
      </c>
      <c r="Z41" s="82">
        <f>$L$36*$E$14*$E$15*$E$17/$E$34*2/3*$E$21/PI()*($E$22*$E$23*LN((U41+$E$23)/($E$33*U41+$E$23))+$E$24*U41*(1-$E$33)+$E$25*U41^2/2*(1-$E$33^2))</f>
        <v>13006.979904497519</v>
      </c>
      <c r="AA41" s="82">
        <f>$L$36*$E$14*$E$15*$E$17/$E$34*2/3*$E$21/PI()*($E$22*$E$23*LN((V41+$E$23)/($E$33*V41+$E$23))+$E$24*V41*(1-$E$33)+$E$25*V41^2/2*(1-$E$33^2))</f>
        <v>9727.403724279546</v>
      </c>
      <c r="AB41" s="82">
        <f>$L$36*$E$14*$E$15*$E$17/$E$34*2/3*$E$21/PI()*($E$22*$E$23*LN((W41+$E$23)/($E$33*W41+$E$23))+$E$24*W41*(1-$E$33)+$E$25*W41^2/2*(1-$E$33^2))</f>
        <v>5246.5977005158275</v>
      </c>
      <c r="AC41" s="82">
        <f>$L$36*$E$14*$E$15*$E$17/$E$34*2/3*$E$21/PI()*($E$22*$E$23*LN((X41+$E$23)/($E$33*X41+$E$23))+$E$24*X41*(1-$E$33)+$E$25*X41^2/2*(1-$E$33^2))</f>
        <v>2518.288134594182</v>
      </c>
      <c r="AD41" s="72">
        <f>1/9/PI()*$E$21/$E$34*$E$28^2*T41*(3*T41+4*$E$27)/($E$26*$E$27*$E$14*$E$15*$E$17*16*$E$5^2*$E$6^2)</f>
        <v>15.719226344166877</v>
      </c>
      <c r="AE41" s="73">
        <f>1/9/PI()*$E$21/$E$34*$E$28^2*U41*(3*U41+4*$E$27)/($E$26*$E$27*$E$14*$E$15*$E$17*16*$E$5^2*$E$6^2)</f>
        <v>9.759690556612124</v>
      </c>
      <c r="AF41" s="73">
        <f>1/9/PI()*$E$21/$E$34*$E$28^2*V41*(3*V41+4*$E$27)/($E$26*$E$27*$E$14*$E$15*$E$17*16*$E$5^2*$E$6^2)</f>
        <v>5.072191944822464</v>
      </c>
      <c r="AG41" s="73">
        <f>1/9/PI()*$E$21/$E$34*$E$28^2*W41*(3*W41+4*$E$27)/($E$26*$E$27*$E$14*$E$15*$E$17*16*$E$5^2*$E$6^2)</f>
        <v>1.656768179463538</v>
      </c>
      <c r="AH41" s="74">
        <f>1/9/PI()*$E$21/$E$34*$E$28^2*X41*(3*X41+4*$E$27)/($E$26*$E$27*$E$14*$E$15*$E$17*16*$E$5^2*$E$6^2)</f>
        <v>0.592659826754216</v>
      </c>
      <c r="AI41" s="28"/>
      <c r="BX41"/>
    </row>
    <row r="42" spans="1:76" ht="16.5">
      <c r="A42" s="18">
        <v>2</v>
      </c>
      <c r="B42" s="4">
        <v>-0.821585611225844</v>
      </c>
      <c r="C42" s="11">
        <v>247.8761242952973</v>
      </c>
      <c r="D42" s="4">
        <v>-0.04666387906774721</v>
      </c>
      <c r="E42" s="4">
        <f t="shared" si="1"/>
        <v>0.8229097363520455</v>
      </c>
      <c r="F42" s="84">
        <f t="shared" si="2"/>
        <v>1.5490654937088737</v>
      </c>
      <c r="G42" s="87">
        <f t="shared" si="3"/>
        <v>467.3601212261085</v>
      </c>
      <c r="H42" s="89">
        <f t="shared" si="4"/>
        <v>0.08798280286164922</v>
      </c>
      <c r="I42" s="89">
        <f t="shared" si="5"/>
        <v>1.5515620765534677</v>
      </c>
      <c r="J42" s="57">
        <f>E42*E$29/E$30</f>
        <v>0.3879676380436891</v>
      </c>
      <c r="K42" s="11">
        <f>L$33*E$14/120*F42^2/E$8*E$7*E$10*(E$10-1)*E$5/E$6</f>
        <v>147.8946189915668</v>
      </c>
      <c r="L42" s="11">
        <f>L$34*E$14/6*F42^2/E$9*E$7*E$5/E$6*(1+(G42*E$5/F42)^2/15)</f>
        <v>6305.177313846899</v>
      </c>
      <c r="M42" s="15">
        <f>L$35*E$14/8*H42^2/E$9*E$7*E$6/E$5</f>
        <v>0.09577923341664775</v>
      </c>
      <c r="N42" s="11">
        <f>E$14*E$15*(E$12/E$11)^2*J42*(1-E$33)/E$34^2*(E$20/2/PI())^2/E$19*LN((E$18+E$19*J42)/(E$18+E$19*E$33*J42))</f>
        <v>2866.808169621682</v>
      </c>
      <c r="O42" s="11">
        <f t="shared" si="6"/>
        <v>9290.42068283846</v>
      </c>
      <c r="P42" s="11">
        <f t="shared" si="7"/>
        <v>6.595603564166241</v>
      </c>
      <c r="Q42" s="123">
        <f t="shared" si="8"/>
        <v>18616.99216809619</v>
      </c>
      <c r="R42" s="91">
        <f t="shared" si="9"/>
        <v>0.14686696402861404</v>
      </c>
      <c r="S42" s="28"/>
      <c r="T42" s="79">
        <f>SQRT(($B42-$C42*0.8*$E$5)^2+$D42^2)*$E$29/$E$30</f>
        <v>0.8424624802016542</v>
      </c>
      <c r="U42" s="80">
        <f>SQRT(($B42-$C42*0.4*$E$5)^2+$D42^2)*$E$29/$E$30</f>
        <v>0.6151527988966707</v>
      </c>
      <c r="V42" s="80">
        <f>SQRT(($B42)^2+$D42^2)*$E$29/$E$30</f>
        <v>0.3879676380436891</v>
      </c>
      <c r="W42" s="80">
        <f>SQRT(($B42+$C42*0.4*$E$5)^2+$D42^2)*$E$29/$E$30</f>
        <v>0.1614335686401551</v>
      </c>
      <c r="X42" s="81">
        <f>SQRT(($B42+$C42*0.8*$E$5)^2+$D42^2)*$E$29/$E$30</f>
        <v>0.07098374979175193</v>
      </c>
      <c r="Y42" s="82">
        <f>$L$36*$E$14*$E$15*$E$17/$E$34*2/3*$E$21/PI()*($E$22*$E$23*LN((T42+$E$23)/($E$33*T42+$E$23))+$E$24*T42*(1-$E$33)+$E$25*T42^2/2*(1-$E$33^2))</f>
        <v>15727.276993477582</v>
      </c>
      <c r="Z42" s="82">
        <f>$L$36*$E$14*$E$15*$E$17/$E$34*2/3*$E$21/PI()*($E$22*$E$23*LN((U42+$E$23)/($E$33*U42+$E$23))+$E$24*U42*(1-$E$33)+$E$25*U42^2/2*(1-$E$33^2))</f>
        <v>13025.752122792741</v>
      </c>
      <c r="AA42" s="82">
        <f>$L$36*$E$14*$E$15*$E$17/$E$34*2/3*$E$21/PI()*($E$22*$E$23*LN((V42+$E$23)/($E$33*V42+$E$23))+$E$24*V42*(1-$E$33)+$E$25*V42^2/2*(1-$E$33^2))</f>
        <v>9736.442626346343</v>
      </c>
      <c r="AB42" s="82">
        <f>$L$36*$E$14*$E$15*$E$17/$E$34*2/3*$E$21/PI()*($E$22*$E$23*LN((W42+$E$23)/($E$33*W42+$E$23))+$E$24*W42*(1-$E$33)+$E$25*W42^2/2*(1-$E$33^2))</f>
        <v>5253.92978868063</v>
      </c>
      <c r="AC42" s="82">
        <f>$L$36*$E$14*$E$15*$E$17/$E$34*2/3*$E$21/PI()*($E$22*$E$23*LN((X42+$E$23)/($E$33*X42+$E$23))+$E$24*X42*(1-$E$33)+$E$25*X42^2/2*(1-$E$33^2))</f>
        <v>2708.701882895011</v>
      </c>
      <c r="AD42" s="72">
        <f>1/9/PI()*$E$21/$E$34*$E$28^2*T42*(3*T42+4*$E$27)/($E$26*$E$27*$E$14*$E$15*$E$17*16*$E$5^2*$E$6^2)</f>
        <v>15.791353459019936</v>
      </c>
      <c r="AE42" s="73">
        <f>1/9/PI()*$E$21/$E$34*$E$28^2*U42*(3*U42+4*$E$27)/($E$26*$E$27*$E$14*$E$15*$E$17*16*$E$5^2*$E$6^2)</f>
        <v>9.793822888622024</v>
      </c>
      <c r="AF42" s="73">
        <f>1/9/PI()*$E$21/$E$34*$E$28^2*V42*(3*V42+4*$E$27)/($E$26*$E$27*$E$14*$E$15*$E$17*16*$E$5^2*$E$6^2)</f>
        <v>5.082059832280841</v>
      </c>
      <c r="AG42" s="73">
        <f>1/9/PI()*$E$21/$E$34*$E$28^2*W42*(3*W42+4*$E$27)/($E$26*$E$27*$E$14*$E$15*$E$17*16*$E$5^2*$E$6^2)</f>
        <v>1.6604245065101777</v>
      </c>
      <c r="AH42" s="74">
        <f>1/9/PI()*$E$21/$E$34*$E$28^2*X42*(3*X42+4*$E$27)/($E$26*$E$27*$E$14*$E$15*$E$17*16*$E$5^2*$E$6^2)</f>
        <v>0.650357134398226</v>
      </c>
      <c r="AI42" s="28"/>
      <c r="BX42"/>
    </row>
    <row r="43" spans="1:76" ht="16.5">
      <c r="A43" s="18">
        <v>3</v>
      </c>
      <c r="B43" s="4">
        <v>-0.8208176406045933</v>
      </c>
      <c r="C43" s="11">
        <v>248.61971105177216</v>
      </c>
      <c r="D43" s="4">
        <v>-0.08816510333209439</v>
      </c>
      <c r="E43" s="4">
        <f t="shared" si="1"/>
        <v>0.8255390266809015</v>
      </c>
      <c r="F43" s="84">
        <f t="shared" si="2"/>
        <v>1.5476175170484907</v>
      </c>
      <c r="G43" s="87">
        <f t="shared" si="3"/>
        <v>468.762123123775</v>
      </c>
      <c r="H43" s="89">
        <f t="shared" si="4"/>
        <v>0.16623163484722014</v>
      </c>
      <c r="I43" s="89">
        <f t="shared" si="5"/>
        <v>1.5565194940955012</v>
      </c>
      <c r="J43" s="57">
        <f>E43*E$29/E$30</f>
        <v>0.38920723883288305</v>
      </c>
      <c r="K43" s="11">
        <f>L$33*E$14/120*F43^2/E$8*E$7*E$10*(E$10-1)*E$5/E$6</f>
        <v>147.61826157373642</v>
      </c>
      <c r="L43" s="11">
        <f>L$34*E$14/6*F43^2/E$9*E$7*E$5/E$6*(1+(G43*E$5/F43)^2/15)</f>
        <v>6299.6331266597945</v>
      </c>
      <c r="M43" s="15">
        <f>L$35*E$14/8*H43^2/E$9*E$7*E$6/E$5</f>
        <v>0.3419031662286417</v>
      </c>
      <c r="N43" s="11">
        <f>E$14*E$15*(E$12/E$11)^2*J43*(1-E$33)/E$34^2*(E$20/2/PI())^2/E$19*LN((E$18+E$19*J43)/(E$18+E$19*E$33*J43))</f>
        <v>2884.1029343887194</v>
      </c>
      <c r="O43" s="11">
        <f t="shared" si="6"/>
        <v>9377.816732730438</v>
      </c>
      <c r="P43" s="11">
        <f t="shared" si="7"/>
        <v>6.643207237739922</v>
      </c>
      <c r="Q43" s="123">
        <f t="shared" si="8"/>
        <v>18716.156165756656</v>
      </c>
      <c r="R43" s="91">
        <f t="shared" si="9"/>
        <v>0.14764925555808525</v>
      </c>
      <c r="S43" s="28"/>
      <c r="T43" s="79">
        <f>SQRT(($B43-$C43*0.8*$E$5)^2+$D43^2)*$E$29/$E$30</f>
        <v>0.8442014523169424</v>
      </c>
      <c r="U43" s="80">
        <f>SQRT(($B43-$C43*0.4*$E$5)^2+$D43^2)*$E$29/$E$30</f>
        <v>0.6164823063600798</v>
      </c>
      <c r="V43" s="80">
        <f>SQRT(($B43)^2+$D43^2)*$E$29/$E$30</f>
        <v>0.38920723883288305</v>
      </c>
      <c r="W43" s="80">
        <f>SQRT(($B43+$C43*0.4*$E$5)^2+$D43^2)*$E$29/$E$30</f>
        <v>0.16423036932508922</v>
      </c>
      <c r="X43" s="81">
        <f>SQRT(($B43+$C43*0.8*$E$5)^2+$D43^2)*$E$29/$E$30</f>
        <v>0.08073693331591458</v>
      </c>
      <c r="Y43" s="82">
        <f>$L$36*$E$14*$E$15*$E$17/$E$34*2/3*$E$21/PI()*($E$22*$E$23*LN((T43+$E$23)/($E$33*T43+$E$23))+$E$24*T43*(1-$E$33)+$E$25*T43^2/2*(1-$E$33^2))</f>
        <v>15746.365568972795</v>
      </c>
      <c r="Z43" s="82">
        <f>$L$36*$E$14*$E$15*$E$17/$E$34*2/3*$E$21/PI()*($E$22*$E$23*LN((U43+$E$23)/($E$33*U43+$E$23))+$E$24*U43*(1-$E$33)+$E$25*U43^2/2*(1-$E$33^2))</f>
        <v>13042.947098971214</v>
      </c>
      <c r="AA43" s="82">
        <f>$L$36*$E$14*$E$15*$E$17/$E$34*2/3*$E$21/PI()*($E$22*$E$23*LN((V43+$E$23)/($E$33*V43+$E$23))+$E$24*V43*(1-$E$33)+$E$25*V43^2/2*(1-$E$33^2))</f>
        <v>9756.75640922629</v>
      </c>
      <c r="AB43" s="82">
        <f>$L$36*$E$14*$E$15*$E$17/$E$34*2/3*$E$21/PI()*($E$22*$E$23*LN((W43+$E$23)/($E$33*W43+$E$23))+$E$24*W43*(1-$E$33)+$E$25*W43^2/2*(1-$E$33^2))</f>
        <v>5322.572497070733</v>
      </c>
      <c r="AC43" s="82">
        <f>$L$36*$E$14*$E$15*$E$17/$E$34*2/3*$E$21/PI()*($E$22*$E$23*LN((X43+$E$23)/($E$33*X43+$E$23))+$E$24*X43*(1-$E$33)+$E$25*X43^2/2*(1-$E$33^2))</f>
        <v>3020.442089411163</v>
      </c>
      <c r="AD43" s="72">
        <f>1/9/PI()*$E$21/$E$34*$E$28^2*T43*(3*T43+4*$E$27)/($E$26*$E$27*$E$14*$E$15*$E$17*16*$E$5^2*$E$6^2)</f>
        <v>15.842183204962135</v>
      </c>
      <c r="AE43" s="73">
        <f>1/9/PI()*$E$21/$E$34*$E$28^2*U43*(3*U43+4*$E$27)/($E$26*$E$27*$E$14*$E$15*$E$17*16*$E$5^2*$E$6^2)</f>
        <v>9.825170063877728</v>
      </c>
      <c r="AF43" s="73">
        <f>1/9/PI()*$E$21/$E$34*$E$28^2*V43*(3*V43+4*$E$27)/($E$26*$E$27*$E$14*$E$15*$E$17*16*$E$5^2*$E$6^2)</f>
        <v>5.104290052082824</v>
      </c>
      <c r="AG43" s="73">
        <f>1/9/PI()*$E$21/$E$34*$E$28^2*W43*(3*W43+4*$E$27)/($E$26*$E$27*$E$14*$E$15*$E$17*16*$E$5^2*$E$6^2)</f>
        <v>1.6948960144794851</v>
      </c>
      <c r="AH43" s="74">
        <f>1/9/PI()*$E$21/$E$34*$E$28^2*X43*(3*X43+4*$E$27)/($E$26*$E$27*$E$14*$E$15*$E$17*16*$E$5^2*$E$6^2)</f>
        <v>0.7494968532974406</v>
      </c>
      <c r="AI43" s="28"/>
      <c r="BX43"/>
    </row>
    <row r="44" spans="1:76" ht="16.5">
      <c r="A44" s="18">
        <v>4</v>
      </c>
      <c r="B44" s="4">
        <v>-0.8198187393907777</v>
      </c>
      <c r="C44" s="11">
        <v>249.01848455721432</v>
      </c>
      <c r="D44" s="4">
        <v>-0.12932473383011736</v>
      </c>
      <c r="E44" s="4">
        <f t="shared" si="1"/>
        <v>0.8299564158656251</v>
      </c>
      <c r="F44" s="84">
        <f t="shared" si="2"/>
        <v>1.54573413036206</v>
      </c>
      <c r="G44" s="87">
        <f t="shared" si="3"/>
        <v>469.5139939801354</v>
      </c>
      <c r="H44" s="89">
        <f t="shared" si="4"/>
        <v>0.24383640599597897</v>
      </c>
      <c r="I44" s="89">
        <f t="shared" si="5"/>
        <v>1.5648482976490692</v>
      </c>
      <c r="J44" s="57">
        <f>E44*E$29/E$30</f>
        <v>0.39128985369646974</v>
      </c>
      <c r="K44" s="11">
        <f>L$33*E$14/120*F44^2/E$8*E$7*E$10*(E$10-1)*E$5/E$6</f>
        <v>147.259189523124</v>
      </c>
      <c r="L44" s="11">
        <f>L$34*E$14/6*F44^2/E$9*E$7*E$5/E$6*(1+(G44*E$5/F44)^2/15)</f>
        <v>6288.804936556843</v>
      </c>
      <c r="M44" s="15">
        <f>L$35*E$14/8*H44^2/E$9*E$7*E$6/E$5</f>
        <v>0.7356527578432257</v>
      </c>
      <c r="N44" s="11">
        <f>E$14*E$15*(E$12/E$11)^2*J44*(1-E$33)/E$34^2*(E$20/2/PI())^2/E$19*LN((E$18+E$19*J44)/(E$18+E$19*E$33*J44))</f>
        <v>2913.26308647995</v>
      </c>
      <c r="O44" s="11">
        <f t="shared" si="6"/>
        <v>9493.033480612063</v>
      </c>
      <c r="P44" s="11">
        <f t="shared" si="7"/>
        <v>6.704982132496291</v>
      </c>
      <c r="Q44" s="123">
        <f t="shared" si="8"/>
        <v>18849.801328062316</v>
      </c>
      <c r="R44" s="91">
        <f t="shared" si="9"/>
        <v>0.1487035643888415</v>
      </c>
      <c r="S44" s="28"/>
      <c r="T44" s="79">
        <f>SQRT(($B44-$C44*0.8*$E$5)^2+$D44^2)*$E$29/$E$30</f>
        <v>0.8456392040484979</v>
      </c>
      <c r="U44" s="80">
        <f>SQRT(($B44-$C44*0.4*$E$5)^2+$D44^2)*$E$29/$E$30</f>
        <v>0.6179894176272545</v>
      </c>
      <c r="V44" s="80">
        <f>SQRT(($B44)^2+$D44^2)*$E$29/$E$30</f>
        <v>0.39128985369646974</v>
      </c>
      <c r="W44" s="80">
        <f>SQRT(($B44+$C44*0.4*$E$5)^2+$D44^2)*$E$29/$E$30</f>
        <v>0.1693993841292567</v>
      </c>
      <c r="X44" s="81">
        <f>SQRT(($B44+$C44*0.8*$E$5)^2+$D44^2)*$E$29/$E$30</f>
        <v>0.09314572191986854</v>
      </c>
      <c r="Y44" s="82">
        <f>$L$36*$E$14*$E$15*$E$17/$E$34*2/3*$E$21/PI()*($E$22*$E$23*LN((T44+$E$23)/($E$33*T44+$E$23))+$E$24*T44*(1-$E$33)+$E$25*T44^2/2*(1-$E$33^2))</f>
        <v>15762.132139220743</v>
      </c>
      <c r="Z44" s="82">
        <f>$L$36*$E$14*$E$15*$E$17/$E$34*2/3*$E$21/PI()*($E$22*$E$23*LN((U44+$E$23)/($E$33*U44+$E$23))+$E$24*U44*(1-$E$33)+$E$25*U44^2/2*(1-$E$33^2))</f>
        <v>13062.41578366614</v>
      </c>
      <c r="AA44" s="82">
        <f>$L$36*$E$14*$E$15*$E$17/$E$34*2/3*$E$21/PI()*($E$22*$E$23*LN((V44+$E$23)/($E$33*V44+$E$23))+$E$24*V44*(1-$E$33)+$E$25*V44^2/2*(1-$E$33^2))</f>
        <v>9790.81155299502</v>
      </c>
      <c r="AB44" s="82">
        <f>$L$36*$E$14*$E$15*$E$17/$E$34*2/3*$E$21/PI()*($E$22*$E$23*LN((W44+$E$23)/($E$33*W44+$E$23))+$E$24*W44*(1-$E$33)+$E$25*W44^2/2*(1-$E$33^2))</f>
        <v>5448.184101544923</v>
      </c>
      <c r="AC44" s="82">
        <f>$L$36*$E$14*$E$15*$E$17/$E$34*2/3*$E$21/PI()*($E$22*$E$23*LN((X44+$E$23)/($E$33*X44+$E$23))+$E$24*X44*(1-$E$33)+$E$25*X44^2/2*(1-$E$33^2))</f>
        <v>3401.6238256334855</v>
      </c>
      <c r="AD44" s="72">
        <f>1/9/PI()*$E$21/$E$34*$E$28^2*T44*(3*T44+4*$E$27)/($E$26*$E$27*$E$14*$E$15*$E$17*16*$E$5^2*$E$6^2)</f>
        <v>15.884265079011799</v>
      </c>
      <c r="AE44" s="73">
        <f>1/9/PI()*$E$21/$E$34*$E$28^2*U44*(3*U44+4*$E$27)/($E$26*$E$27*$E$14*$E$15*$E$17*16*$E$5^2*$E$6^2)</f>
        <v>9.860757887352264</v>
      </c>
      <c r="AF44" s="73">
        <f>1/9/PI()*$E$21/$E$34*$E$28^2*V44*(3*V44+4*$E$27)/($E$26*$E$27*$E$14*$E$15*$E$17*16*$E$5^2*$E$6^2)</f>
        <v>5.141724292127142</v>
      </c>
      <c r="AG44" s="73">
        <f>1/9/PI()*$E$21/$E$34*$E$28^2*W44*(3*W44+4*$E$27)/($E$26*$E$27*$E$14*$E$15*$E$17*16*$E$5^2*$E$6^2)</f>
        <v>1.7591172815324434</v>
      </c>
      <c r="AH44" s="74">
        <f>1/9/PI()*$E$21/$E$34*$E$28^2*X44*(3*X44+4*$E$27)/($E$26*$E$27*$E$14*$E$15*$E$17*16*$E$5^2*$E$6^2)</f>
        <v>0.8790461224577996</v>
      </c>
      <c r="AI44" s="28"/>
      <c r="BX44"/>
    </row>
    <row r="45" spans="1:76" ht="16.5">
      <c r="A45" s="18">
        <v>5</v>
      </c>
      <c r="B45" s="4">
        <v>-0.8183791186552796</v>
      </c>
      <c r="C45" s="11">
        <v>249.07833636928586</v>
      </c>
      <c r="D45" s="4">
        <v>-0.17029335958175434</v>
      </c>
      <c r="E45" s="4">
        <f t="shared" si="1"/>
        <v>0.8359092116782976</v>
      </c>
      <c r="F45" s="84">
        <f t="shared" si="2"/>
        <v>1.5430197853505152</v>
      </c>
      <c r="G45" s="87">
        <f t="shared" si="3"/>
        <v>469.62684208208503</v>
      </c>
      <c r="H45" s="89">
        <f t="shared" si="4"/>
        <v>0.32108104564082834</v>
      </c>
      <c r="I45" s="89">
        <f t="shared" si="5"/>
        <v>1.5760720465299034</v>
      </c>
      <c r="J45" s="57">
        <f>E45*E$29/E$30</f>
        <v>0.3940963487823547</v>
      </c>
      <c r="K45" s="11">
        <f>L$33*E$14/120*F45^2/E$8*E$7*E$10*(E$10-1)*E$5/E$6</f>
        <v>146.7424625043561</v>
      </c>
      <c r="L45" s="11">
        <f>L$34*E$14/6*F45^2/E$9*E$7*E$5/E$6*(1+(G45*E$5/F45)^2/15)</f>
        <v>6269.926260151584</v>
      </c>
      <c r="M45" s="15">
        <f>L$35*E$14/8*H45^2/E$9*E$7*E$6/E$5</f>
        <v>1.2755723825927248</v>
      </c>
      <c r="N45" s="11">
        <f>E$14*E$15*(E$12/E$11)^2*J45*(1-E$33)/E$34^2*(E$20/2/PI())^2/E$19*LN((E$18+E$19*J45)/(E$18+E$19*E$33*J45))</f>
        <v>2952.7642123585774</v>
      </c>
      <c r="O45" s="11">
        <f t="shared" si="6"/>
        <v>9626.332367987648</v>
      </c>
      <c r="P45" s="11">
        <f t="shared" si="7"/>
        <v>6.777400674484009</v>
      </c>
      <c r="Q45" s="123">
        <f t="shared" si="8"/>
        <v>19003.818276059243</v>
      </c>
      <c r="R45" s="91">
        <f t="shared" si="9"/>
        <v>0.14991858351529444</v>
      </c>
      <c r="S45" s="28"/>
      <c r="T45" s="79">
        <f>SQRT(($B45-$C45*0.8*$E$5)^2+$D45^2)*$E$29/$E$30</f>
        <v>0.8466845419030645</v>
      </c>
      <c r="U45" s="80">
        <f>SQRT(($B45-$C45*0.4*$E$5)^2+$D45^2)*$E$29/$E$30</f>
        <v>0.6195744047113552</v>
      </c>
      <c r="V45" s="80">
        <f>SQRT(($B45)^2+$D45^2)*$E$29/$E$30</f>
        <v>0.3940963487823547</v>
      </c>
      <c r="W45" s="80">
        <f>SQRT(($B45+$C45*0.4*$E$5)^2+$D45^2)*$E$29/$E$30</f>
        <v>0.17661591363198872</v>
      </c>
      <c r="X45" s="81">
        <f>SQRT(($B45+$C45*0.8*$E$5)^2+$D45^2)*$E$29/$E$30</f>
        <v>0.10731351008547972</v>
      </c>
      <c r="Y45" s="82">
        <f>$L$36*$E$14*$E$15*$E$17/$E$34*2/3*$E$21/PI()*($E$22*$E$23*LN((T45+$E$23)/($E$33*T45+$E$23))+$E$24*T45*(1-$E$33)+$E$25*T45^2/2*(1-$E$33^2))</f>
        <v>15773.586644579476</v>
      </c>
      <c r="Z45" s="82">
        <f>$L$36*$E$14*$E$15*$E$17/$E$34*2/3*$E$21/PI()*($E$22*$E$23*LN((U45+$E$23)/($E$33*U45+$E$23))+$E$24*U45*(1-$E$33)+$E$25*U45^2/2*(1-$E$33^2))</f>
        <v>13082.863840334745</v>
      </c>
      <c r="AA45" s="82">
        <f>$L$36*$E$14*$E$15*$E$17/$E$34*2/3*$E$21/PI()*($E$22*$E$23*LN((V45+$E$23)/($E$33*V45+$E$23))+$E$24*V45*(1-$E$33)+$E$25*V45^2/2*(1-$E$33^2))</f>
        <v>9836.559131068829</v>
      </c>
      <c r="AB45" s="82">
        <f>$L$36*$E$14*$E$15*$E$17/$E$34*2/3*$E$21/PI()*($E$22*$E$23*LN((W45+$E$23)/($E$33*W45+$E$23))+$E$24*W45*(1-$E$33)+$E$25*W45^2/2*(1-$E$33^2))</f>
        <v>5620.916265777522</v>
      </c>
      <c r="AC45" s="82">
        <f>$L$36*$E$14*$E$15*$E$17/$E$34*2/3*$E$21/PI()*($E$22*$E$23*LN((X45+$E$23)/($E$33*X45+$E$23))+$E$24*X45*(1-$E$33)+$E$25*X45^2/2*(1-$E$33^2))</f>
        <v>3817.7359581776705</v>
      </c>
      <c r="AD45" s="72">
        <f>1/9/PI()*$E$21/$E$34*$E$28^2*T45*(3*T45+4*$E$27)/($E$26*$E$27*$E$14*$E$15*$E$17*16*$E$5^2*$E$6^2)</f>
        <v>15.914893544067077</v>
      </c>
      <c r="AE45" s="73">
        <f>1/9/PI()*$E$21/$E$34*$E$28^2*U45*(3*U45+4*$E$27)/($E$26*$E$27*$E$14*$E$15*$E$17*16*$E$5^2*$E$6^2)</f>
        <v>9.898245485962976</v>
      </c>
      <c r="AF45" s="73">
        <f>1/9/PI()*$E$21/$E$34*$E$28^2*V45*(3*V45+4*$E$27)/($E$26*$E$27*$E$14*$E$15*$E$17*16*$E$5^2*$E$6^2)</f>
        <v>5.192340440507456</v>
      </c>
      <c r="AG45" s="73">
        <f>1/9/PI()*$E$21/$E$34*$E$28^2*W45*(3*W45+4*$E$27)/($E$26*$E$27*$E$14*$E$15*$E$17*16*$E$5^2*$E$6^2)</f>
        <v>1.849887597251702</v>
      </c>
      <c r="AH45" s="74">
        <f>1/9/PI()*$E$21/$E$34*$E$28^2*X45*(3*X45+4*$E$27)/($E$26*$E$27*$E$14*$E$15*$E$17*16*$E$5^2*$E$6^2)</f>
        <v>1.0316363046308337</v>
      </c>
      <c r="AI45" s="28"/>
      <c r="BX45"/>
    </row>
    <row r="46" spans="1:76" ht="16.5">
      <c r="A46" s="18">
        <v>6</v>
      </c>
      <c r="B46" s="4">
        <v>-0.8165897522528507</v>
      </c>
      <c r="C46" s="11">
        <v>248.9262978938888</v>
      </c>
      <c r="D46" s="4">
        <v>-0.21129872517543874</v>
      </c>
      <c r="E46" s="4">
        <f t="shared" si="1"/>
        <v>0.8434844247199457</v>
      </c>
      <c r="F46" s="84">
        <f t="shared" si="2"/>
        <v>1.5396460094326667</v>
      </c>
      <c r="G46" s="87">
        <f t="shared" si="3"/>
        <v>469.34017986120915</v>
      </c>
      <c r="H46" s="89">
        <f t="shared" si="4"/>
        <v>0.3983949567295569</v>
      </c>
      <c r="I46" s="89">
        <f t="shared" si="5"/>
        <v>1.5903547956067792</v>
      </c>
      <c r="J46" s="57">
        <f>E46*E$29/E$30</f>
        <v>0.3976677459619217</v>
      </c>
      <c r="K46" s="11">
        <f>L$33*E$14/120*F46^2/E$8*E$7*E$10*(E$10-1)*E$5/E$6</f>
        <v>146.10146625182827</v>
      </c>
      <c r="L46" s="11">
        <f>L$34*E$14/6*F46^2/E$9*E$7*E$5/E$6*(1+(G46*E$5/F46)^2/15)</f>
        <v>6245.054963244343</v>
      </c>
      <c r="M46" s="15">
        <f>L$35*E$14/8*H46^2/E$9*E$7*E$6/E$5</f>
        <v>1.9638279401478134</v>
      </c>
      <c r="N46" s="11">
        <f>E$14*E$15*(E$12/E$11)^2*J46*(1-E$33)/E$34^2*(E$20/2/PI())^2/E$19*LN((E$18+E$19*J46)/(E$18+E$19*E$33*J46))</f>
        <v>3003.3714813655115</v>
      </c>
      <c r="O46" s="11">
        <f t="shared" si="6"/>
        <v>9773.603710812351</v>
      </c>
      <c r="P46" s="11">
        <f t="shared" si="7"/>
        <v>6.861939635291705</v>
      </c>
      <c r="Q46" s="123">
        <f t="shared" si="8"/>
        <v>19176.95738924947</v>
      </c>
      <c r="R46" s="91">
        <f t="shared" si="9"/>
        <v>0.15128445484828193</v>
      </c>
      <c r="S46" s="28"/>
      <c r="T46" s="79">
        <f>SQRT(($B46-$C46*0.8*$E$5)^2+$D46^2)*$E$29/$E$30</f>
        <v>0.8476211167710366</v>
      </c>
      <c r="U46" s="80">
        <f>SQRT(($B46-$C46*0.4*$E$5)^2+$D46^2)*$E$29/$E$30</f>
        <v>0.6214044168551573</v>
      </c>
      <c r="V46" s="80">
        <f>SQRT(($B46)^2+$D46^2)*$E$29/$E$30</f>
        <v>0.3976677459619217</v>
      </c>
      <c r="W46" s="80">
        <f>SQRT(($B46+$C46*0.4*$E$5)^2+$D46^2)*$E$29/$E$30</f>
        <v>0.18560743053604092</v>
      </c>
      <c r="X46" s="81">
        <f>SQRT(($B46+$C46*0.8*$E$5)^2+$D46^2)*$E$29/$E$30</f>
        <v>0.1227798662744238</v>
      </c>
      <c r="Y46" s="82">
        <f>$L$36*$E$14*$E$15*$E$17/$E$34*2/3*$E$21/PI()*($E$22*$E$23*LN((T46+$E$23)/($E$33*T46+$E$23))+$E$24*T46*(1-$E$33)+$E$25*T46^2/2*(1-$E$33^2))</f>
        <v>15783.843073956916</v>
      </c>
      <c r="Z46" s="82">
        <f>$L$36*$E$14*$E$15*$E$17/$E$34*2/3*$E$21/PI()*($E$22*$E$23*LN((U46+$E$23)/($E$33*U46+$E$23))+$E$24*U46*(1-$E$33)+$E$25*U46^2/2*(1-$E$33^2))</f>
        <v>13106.439177779532</v>
      </c>
      <c r="AA46" s="82">
        <f>$L$36*$E$14*$E$15*$E$17/$E$34*2/3*$E$21/PI()*($E$22*$E$23*LN((V46+$E$23)/($E$33*V46+$E$23))+$E$24*V46*(1-$E$33)+$E$25*V46^2/2*(1-$E$33^2))</f>
        <v>9894.53753483768</v>
      </c>
      <c r="AB46" s="82">
        <f>$L$36*$E$14*$E$15*$E$17/$E$34*2/3*$E$21/PI()*($E$22*$E$23*LN((W46+$E$23)/($E$33*W46+$E$23))+$E$24*W46*(1-$E$33)+$E$25*W46^2/2*(1-$E$33^2))</f>
        <v>5832.018845178264</v>
      </c>
      <c r="AC46" s="82">
        <f>$L$36*$E$14*$E$15*$E$17/$E$34*2/3*$E$21/PI()*($E$22*$E$23*LN((X46+$E$23)/($E$33*X46+$E$23))+$E$24*X46*(1-$E$33)+$E$25*X46^2/2*(1-$E$33^2))</f>
        <v>4251.179922309362</v>
      </c>
      <c r="AD46" s="72">
        <f>1/9/PI()*$E$21/$E$34*$E$28^2*T46*(3*T46+4*$E$27)/($E$26*$E$27*$E$14*$E$15*$E$17*16*$E$5^2*$E$6^2)</f>
        <v>15.942358301983907</v>
      </c>
      <c r="AE46" s="73">
        <f>1/9/PI()*$E$21/$E$34*$E$28^2*U46*(3*U46+4*$E$27)/($E$26*$E$27*$E$14*$E$15*$E$17*16*$E$5^2*$E$6^2)</f>
        <v>9.94160595991285</v>
      </c>
      <c r="AF46" s="73">
        <f>1/9/PI()*$E$21/$E$34*$E$28^2*V46*(3*V46+4*$E$27)/($E$26*$E$27*$E$14*$E$15*$E$17*16*$E$5^2*$E$6^2)</f>
        <v>5.257034789415793</v>
      </c>
      <c r="AG46" s="73">
        <f>1/9/PI()*$E$21/$E$34*$E$28^2*W46*(3*W46+4*$E$27)/($E$26*$E$27*$E$14*$E$15*$E$17*16*$E$5^2*$E$6^2)</f>
        <v>1.964794017519925</v>
      </c>
      <c r="AH46" s="74">
        <f>1/9/PI()*$E$21/$E$34*$E$28^2*X46*(3*X46+4*$E$27)/($E$26*$E$27*$E$14*$E$15*$E$17*16*$E$5^2*$E$6^2)</f>
        <v>1.2039051076260499</v>
      </c>
      <c r="AI46" s="28"/>
      <c r="BX46"/>
    </row>
    <row r="47" spans="1:76" ht="16.5">
      <c r="A47" s="18">
        <v>7</v>
      </c>
      <c r="B47" s="4">
        <v>-0.814521089821648</v>
      </c>
      <c r="C47" s="11">
        <v>248.45779899296454</v>
      </c>
      <c r="D47" s="4">
        <v>-0.25243209734431343</v>
      </c>
      <c r="E47" s="4">
        <f t="shared" si="1"/>
        <v>0.8527406226596068</v>
      </c>
      <c r="F47" s="84">
        <f t="shared" si="2"/>
        <v>1.5357456324707006</v>
      </c>
      <c r="G47" s="87">
        <f t="shared" si="3"/>
        <v>468.456844672099</v>
      </c>
      <c r="H47" s="89">
        <f t="shared" si="4"/>
        <v>0.47595021889099864</v>
      </c>
      <c r="I47" s="89">
        <f t="shared" si="5"/>
        <v>1.6078069717833736</v>
      </c>
      <c r="J47" s="57">
        <f>E47*E$29/E$30</f>
        <v>0.4020316574497534</v>
      </c>
      <c r="K47" s="11">
        <f>L$33*E$14/120*F47^2/E$8*E$7*E$10*(E$10-1)*E$5/E$6</f>
        <v>145.36216775124387</v>
      </c>
      <c r="L47" s="11">
        <f>L$34*E$14/6*F47^2/E$9*E$7*E$5/E$6*(1+(G47*E$5/F47)^2/15)</f>
        <v>6214.491723628346</v>
      </c>
      <c r="M47" s="15">
        <f>L$35*E$14/8*H47^2/E$9*E$7*E$6/E$5</f>
        <v>2.802843391307054</v>
      </c>
      <c r="N47" s="11">
        <f>E$14*E$15*(E$12/E$11)^2*J47*(1-E$33)/E$34^2*(E$20/2/PI())^2/E$19*LN((E$18+E$19*J47)/(E$18+E$19*E$33*J47))</f>
        <v>3065.7245464324883</v>
      </c>
      <c r="O47" s="11">
        <f t="shared" si="6"/>
        <v>9930.256420428785</v>
      </c>
      <c r="P47" s="11">
        <f t="shared" si="7"/>
        <v>6.956687413426825</v>
      </c>
      <c r="Q47" s="123">
        <f t="shared" si="8"/>
        <v>19365.594389045596</v>
      </c>
      <c r="R47" s="91">
        <f t="shared" si="9"/>
        <v>0.1527725869382229</v>
      </c>
      <c r="S47" s="28"/>
      <c r="T47" s="79">
        <f>SQRT(($B47-$C47*0.8*$E$5)^2+$D47^2)*$E$29/$E$30</f>
        <v>0.8483016106211583</v>
      </c>
      <c r="U47" s="80">
        <f>SQRT(($B47-$C47*0.4*$E$5)^2+$D47^2)*$E$29/$E$30</f>
        <v>0.6234272479250111</v>
      </c>
      <c r="V47" s="80">
        <f>SQRT(($B47)^2+$D47^2)*$E$29/$E$30</f>
        <v>0.4020316574497534</v>
      </c>
      <c r="W47" s="80">
        <f>SQRT(($B47+$C47*0.4*$E$5)^2+$D47^2)*$E$29/$E$30</f>
        <v>0.1962635549249501</v>
      </c>
      <c r="X47" s="81">
        <f>SQRT(($B47+$C47*0.8*$E$5)^2+$D47^2)*$E$29/$E$30</f>
        <v>0.13903712329914766</v>
      </c>
      <c r="Y47" s="82">
        <f>$L$36*$E$14*$E$15*$E$17/$E$34*2/3*$E$21/PI()*($E$22*$E$23*LN((T47+$E$23)/($E$33*T47+$E$23))+$E$24*T47*(1-$E$33)+$E$25*T47^2/2*(1-$E$33^2))</f>
        <v>15791.291441736339</v>
      </c>
      <c r="Z47" s="82">
        <f>$L$36*$E$14*$E$15*$E$17/$E$34*2/3*$E$21/PI()*($E$22*$E$23*LN((U47+$E$23)/($E$33*U47+$E$23))+$E$24*U47*(1-$E$33)+$E$25*U47^2/2*(1-$E$33^2))</f>
        <v>13132.456547709136</v>
      </c>
      <c r="AA47" s="82">
        <f>$L$36*$E$14*$E$15*$E$17/$E$34*2/3*$E$21/PI()*($E$22*$E$23*LN((V47+$E$23)/($E$33*V47+$E$23))+$E$24*V47*(1-$E$33)+$E$25*V47^2/2*(1-$E$33^2))</f>
        <v>9965.025087923957</v>
      </c>
      <c r="AB47" s="82">
        <f>$L$36*$E$14*$E$15*$E$17/$E$34*2/3*$E$21/PI()*($E$22*$E$23*LN((W47+$E$23)/($E$33*W47+$E$23))+$E$24*W47*(1-$E$33)+$E$25*W47^2/2*(1-$E$33^2))</f>
        <v>6076.597874154204</v>
      </c>
      <c r="AC47" s="82">
        <f>$L$36*$E$14*$E$15*$E$17/$E$34*2/3*$E$21/PI()*($E$22*$E$23*LN((X47+$E$23)/($E$33*X47+$E$23))+$E$24*X47*(1-$E$33)+$E$25*X47^2/2*(1-$E$33^2))</f>
        <v>4685.911150620282</v>
      </c>
      <c r="AD47" s="72">
        <f>1/9/PI()*$E$21/$E$34*$E$28^2*T47*(3*T47+4*$E$27)/($E$26*$E$27*$E$14*$E$15*$E$17*16*$E$5^2*$E$6^2)</f>
        <v>15.962327233790887</v>
      </c>
      <c r="AE47" s="73">
        <f>1/9/PI()*$E$21/$E$34*$E$28^2*U47*(3*U47+4*$E$27)/($E$26*$E$27*$E$14*$E$15*$E$17*16*$E$5^2*$E$6^2)</f>
        <v>9.98963190478707</v>
      </c>
      <c r="AF47" s="73">
        <f>1/9/PI()*$E$21/$E$34*$E$28^2*V47*(3*V47+4*$E$27)/($E$26*$E$27*$E$14*$E$15*$E$17*16*$E$5^2*$E$6^2)</f>
        <v>5.3365153122906595</v>
      </c>
      <c r="AG47" s="73">
        <f>1/9/PI()*$E$21/$E$34*$E$28^2*W47*(3*W47+4*$E$27)/($E$26*$E$27*$E$14*$E$15*$E$17*16*$E$5^2*$E$6^2)</f>
        <v>2.1035736364983197</v>
      </c>
      <c r="AH47" s="74">
        <f>1/9/PI()*$E$21/$E$34*$E$28^2*X47*(3*X47+4*$E$27)/($E$26*$E$27*$E$14*$E$15*$E$17*16*$E$5^2*$E$6^2)</f>
        <v>1.3913889797671921</v>
      </c>
      <c r="AI47" s="28"/>
      <c r="BX47"/>
    </row>
    <row r="48" spans="1:76" ht="16.5">
      <c r="A48" s="18">
        <v>8</v>
      </c>
      <c r="B48" s="4">
        <v>-0.811908099555227</v>
      </c>
      <c r="C48" s="11">
        <v>247.71187929577997</v>
      </c>
      <c r="D48" s="4">
        <v>-0.2939766016246563</v>
      </c>
      <c r="E48" s="4">
        <f t="shared" si="1"/>
        <v>0.863491172176162</v>
      </c>
      <c r="F48" s="84">
        <f t="shared" si="2"/>
        <v>1.5308189480183398</v>
      </c>
      <c r="G48" s="87">
        <f t="shared" si="3"/>
        <v>467.0504441117699</v>
      </c>
      <c r="H48" s="89">
        <f t="shared" si="4"/>
        <v>0.5542806535463705</v>
      </c>
      <c r="I48" s="89">
        <f t="shared" si="5"/>
        <v>1.6280766856962752</v>
      </c>
      <c r="J48" s="57">
        <f>E48*E$29/E$30</f>
        <v>0.4071000934146735</v>
      </c>
      <c r="K48" s="11">
        <f>L$33*E$14/120*F48^2/E$8*E$7*E$10*(E$10-1)*E$5/E$6</f>
        <v>144.4310176915817</v>
      </c>
      <c r="L48" s="11">
        <f>L$34*E$14/6*F48^2/E$9*E$7*E$5/E$6*(1+(G48*E$5/F48)^2/15)</f>
        <v>6175.009860051372</v>
      </c>
      <c r="M48" s="15">
        <f>L$35*E$14/8*H48^2/E$9*E$7*E$6/E$5</f>
        <v>3.801326832549115</v>
      </c>
      <c r="N48" s="11">
        <f>E$14*E$15*(E$12/E$11)^2*J48*(1-E$33)/E$34^2*(E$20/2/PI())^2/E$19*LN((E$18+E$19*J48)/(E$18+E$19*E$33*J48))</f>
        <v>3138.853620112453</v>
      </c>
      <c r="O48" s="11">
        <f t="shared" si="6"/>
        <v>10093.902312877148</v>
      </c>
      <c r="P48" s="11">
        <f t="shared" si="7"/>
        <v>7.060692679802536</v>
      </c>
      <c r="Q48" s="123">
        <f t="shared" si="8"/>
        <v>19563.058830244907</v>
      </c>
      <c r="R48" s="91">
        <f t="shared" si="9"/>
        <v>0.15433035753406857</v>
      </c>
      <c r="S48" s="28"/>
      <c r="T48" s="79">
        <f>SQRT(($B48-$C48*0.8*$E$5)^2+$D48^2)*$E$29/$E$30</f>
        <v>0.848704581896028</v>
      </c>
      <c r="U48" s="80">
        <f>SQRT(($B48-$C48*0.4*$E$5)^2+$D48^2)*$E$29/$E$30</f>
        <v>0.6255921181217307</v>
      </c>
      <c r="V48" s="80">
        <f>SQRT(($B48)^2+$D48^2)*$E$29/$E$30</f>
        <v>0.4071000934146735</v>
      </c>
      <c r="W48" s="80">
        <f>SQRT(($B48+$C48*0.4*$E$5)^2+$D48^2)*$E$29/$E$30</f>
        <v>0.20831329947442043</v>
      </c>
      <c r="X48" s="81">
        <f>SQRT(($B48+$C48*0.8*$E$5)^2+$D48^2)*$E$29/$E$30</f>
        <v>0.15606835776378336</v>
      </c>
      <c r="Y48" s="82">
        <f>$L$36*$E$14*$E$15*$E$17/$E$34*2/3*$E$21/PI()*($E$22*$E$23*LN((T48+$E$23)/($E$33*T48+$E$23))+$E$24*T48*(1-$E$33)+$E$25*T48^2/2*(1-$E$33^2))</f>
        <v>15795.700703267275</v>
      </c>
      <c r="Z48" s="82">
        <f>$L$36*$E$14*$E$15*$E$17/$E$34*2/3*$E$21/PI()*($E$22*$E$23*LN((U48+$E$23)/($E$33*U48+$E$23))+$E$24*U48*(1-$E$33)+$E$25*U48^2/2*(1-$E$33^2))</f>
        <v>13160.252208167447</v>
      </c>
      <c r="AA48" s="82">
        <f>$L$36*$E$14*$E$15*$E$17/$E$34*2/3*$E$21/PI()*($E$22*$E$23*LN((V48+$E$23)/($E$33*V48+$E$23))+$E$24*V48*(1-$E$33)+$E$25*V48^2/2*(1-$E$33^2))</f>
        <v>10046.407485114714</v>
      </c>
      <c r="AB48" s="82">
        <f>$L$36*$E$14*$E$15*$E$17/$E$34*2/3*$E$21/PI()*($E$22*$E$23*LN((W48+$E$23)/($E$33*W48+$E$23))+$E$24*W48*(1-$E$33)+$E$25*W48^2/2*(1-$E$33^2))</f>
        <v>6346.272032899972</v>
      </c>
      <c r="AC48" s="82">
        <f>$L$36*$E$14*$E$15*$E$17/$E$34*2/3*$E$21/PI()*($E$22*$E$23*LN((X48+$E$23)/($E$33*X48+$E$23))+$E$24*X48*(1-$E$33)+$E$25*X48^2/2*(1-$E$33^2))</f>
        <v>5120.879134936333</v>
      </c>
      <c r="AD48" s="72">
        <f>1/9/PI()*$E$21/$E$34*$E$28^2*T48*(3*T48+4*$E$27)/($E$26*$E$27*$E$14*$E$15*$E$17*16*$E$5^2*$E$6^2)</f>
        <v>15.974157753868452</v>
      </c>
      <c r="AE48" s="73">
        <f>1/9/PI()*$E$21/$E$34*$E$28^2*U48*(3*U48+4*$E$27)/($E$26*$E$27*$E$14*$E$15*$E$17*16*$E$5^2*$E$6^2)</f>
        <v>10.041142737853205</v>
      </c>
      <c r="AF48" s="73">
        <f>1/9/PI()*$E$21/$E$34*$E$28^2*V48*(3*V48+4*$E$27)/($E$26*$E$27*$E$14*$E$15*$E$17*16*$E$5^2*$E$6^2)</f>
        <v>5.429421231257479</v>
      </c>
      <c r="AG48" s="73">
        <f>1/9/PI()*$E$21/$E$34*$E$28^2*W48*(3*W48+4*$E$27)/($E$26*$E$27*$E$14*$E$15*$E$17*16*$E$5^2*$E$6^2)</f>
        <v>2.2639012867362216</v>
      </c>
      <c r="AH48" s="74">
        <f>1/9/PI()*$E$21/$E$34*$E$28^2*X48*(3*X48+4*$E$27)/($E$26*$E$27*$E$14*$E$15*$E$17*16*$E$5^2*$E$6^2)</f>
        <v>1.5948403892973195</v>
      </c>
      <c r="AI48" s="28"/>
      <c r="BX48"/>
    </row>
    <row r="49" spans="1:76" ht="16.5">
      <c r="A49" s="18">
        <v>9</v>
      </c>
      <c r="B49" s="4">
        <v>-0.808983216110299</v>
      </c>
      <c r="C49" s="11">
        <v>246.684348194236</v>
      </c>
      <c r="D49" s="4">
        <v>-0.3360578703147423</v>
      </c>
      <c r="E49" s="4">
        <f t="shared" si="1"/>
        <v>0.8760072694610718</v>
      </c>
      <c r="F49" s="84">
        <f t="shared" si="2"/>
        <v>1.5253042019520133</v>
      </c>
      <c r="G49" s="87">
        <f t="shared" si="3"/>
        <v>465.1130769629715</v>
      </c>
      <c r="H49" s="89">
        <f t="shared" si="4"/>
        <v>0.6336231351680269</v>
      </c>
      <c r="I49" s="89">
        <f t="shared" si="5"/>
        <v>1.6516752664832837</v>
      </c>
      <c r="J49" s="57">
        <f>E49*E$29/E$30</f>
        <v>0.4130009115562565</v>
      </c>
      <c r="K49" s="11">
        <f>L$33*E$14/120*F49^2/E$8*E$7*E$10*(E$10-1)*E$5/E$6</f>
        <v>143.3922721247427</v>
      </c>
      <c r="L49" s="11">
        <f>L$34*E$14/6*F49^2/E$9*E$7*E$5/E$6*(1+(G49*E$5/F49)^2/15)</f>
        <v>6129.7396805610415</v>
      </c>
      <c r="M49" s="15">
        <f>L$35*E$14/8*H49^2/E$9*E$7*E$6/E$5</f>
        <v>4.9674993915184285</v>
      </c>
      <c r="N49" s="11">
        <f>E$14*E$15*(E$12/E$11)^2*J49*(1-E$33)/E$34^2*(E$20/2/PI())^2/E$19*LN((E$18+E$19*J49)/(E$18+E$19*E$33*J49))</f>
        <v>3224.949273889099</v>
      </c>
      <c r="O49" s="11">
        <f t="shared" si="6"/>
        <v>10264.08704868631</v>
      </c>
      <c r="P49" s="11">
        <f t="shared" si="7"/>
        <v>7.17582837652604</v>
      </c>
      <c r="Q49" s="123">
        <f t="shared" si="8"/>
        <v>19774.31160302924</v>
      </c>
      <c r="R49" s="91">
        <f t="shared" si="9"/>
        <v>0.15599690243570047</v>
      </c>
      <c r="S49" s="28"/>
      <c r="T49" s="79">
        <f>SQRT(($B49-$C49*0.8*$E$5)^2+$D49^2)*$E$29/$E$30</f>
        <v>0.8489620375735412</v>
      </c>
      <c r="U49" s="80">
        <f>SQRT(($B49-$C49*0.4*$E$5)^2+$D49^2)*$E$29/$E$30</f>
        <v>0.62803763683576</v>
      </c>
      <c r="V49" s="80">
        <f>SQRT(($B49)^2+$D49^2)*$E$29/$E$30</f>
        <v>0.4130009115562565</v>
      </c>
      <c r="W49" s="80">
        <f>SQRT(($B49+$C49*0.4*$E$5)^2+$D49^2)*$E$29/$E$30</f>
        <v>0.2217024587892008</v>
      </c>
      <c r="X49" s="81">
        <f>SQRT(($B49+$C49*0.8*$E$5)^2+$D49^2)*$E$29/$E$30</f>
        <v>0.17371803344178519</v>
      </c>
      <c r="Y49" s="82">
        <f>$L$36*$E$14*$E$15*$E$17/$E$34*2/3*$E$21/PI()*($E$22*$E$23*LN((T49+$E$23)/($E$33*T49+$E$23))+$E$24*T49*(1-$E$33)+$E$25*T49^2/2*(1-$E$33^2))</f>
        <v>15798.517177748892</v>
      </c>
      <c r="Z49" s="82">
        <f>$L$36*$E$14*$E$15*$E$17/$E$34*2/3*$E$21/PI()*($E$22*$E$23*LN((U49+$E$23)/($E$33*U49+$E$23))+$E$24*U49*(1-$E$33)+$E$25*U49^2/2*(1-$E$33^2))</f>
        <v>13191.59111165358</v>
      </c>
      <c r="AA49" s="82">
        <f>$L$36*$E$14*$E$15*$E$17/$E$34*2/3*$E$21/PI()*($E$22*$E$23*LN((V49+$E$23)/($E$33*V49+$E$23))+$E$24*V49*(1-$E$33)+$E$25*V49^2/2*(1-$E$33^2))</f>
        <v>10140.510205718214</v>
      </c>
      <c r="AB49" s="82">
        <f>$L$36*$E$14*$E$15*$E$17/$E$34*2/3*$E$21/PI()*($E$22*$E$23*LN((W49+$E$23)/($E$33*W49+$E$23))+$E$24*W49*(1-$E$33)+$E$25*W49^2/2*(1-$E$33^2))</f>
        <v>6637.901153705981</v>
      </c>
      <c r="AC49" s="82">
        <f>$L$36*$E$14*$E$15*$E$17/$E$34*2/3*$E$21/PI()*($E$22*$E$23*LN((X49+$E$23)/($E$33*X49+$E$23))+$E$24*X49*(1-$E$33)+$E$25*X49^2/2*(1-$E$33^2))</f>
        <v>5551.915594604879</v>
      </c>
      <c r="AD49" s="72">
        <f>1/9/PI()*$E$21/$E$34*$E$28^2*T49*(3*T49+4*$E$27)/($E$26*$E$27*$E$14*$E$15*$E$17*16*$E$5^2*$E$6^2)</f>
        <v>15.981718306641488</v>
      </c>
      <c r="AE49" s="73">
        <f>1/9/PI()*$E$21/$E$34*$E$28^2*U49*(3*U49+4*$E$27)/($E$26*$E$27*$E$14*$E$15*$E$17*16*$E$5^2*$E$6^2)</f>
        <v>10.09947134990355</v>
      </c>
      <c r="AF49" s="73">
        <f>1/9/PI()*$E$21/$E$34*$E$28^2*V49*(3*V49+4*$E$27)/($E$26*$E$27*$E$14*$E$15*$E$17*16*$E$5^2*$E$6^2)</f>
        <v>5.538388914787497</v>
      </c>
      <c r="AG49" s="73">
        <f>1/9/PI()*$E$21/$E$34*$E$28^2*W49*(3*W49+4*$E$27)/($E$26*$E$27*$E$14*$E$15*$E$17*16*$E$5^2*$E$6^2)</f>
        <v>2.4462810182409767</v>
      </c>
      <c r="AH49" s="74">
        <f>1/9/PI()*$E$21/$E$34*$E$28^2*X49*(3*X49+4*$E$27)/($E$26*$E$27*$E$14*$E$15*$E$17*16*$E$5^2*$E$6^2)</f>
        <v>1.813282293056689</v>
      </c>
      <c r="AI49" s="28"/>
      <c r="BX49"/>
    </row>
    <row r="50" spans="1:76" ht="16.5">
      <c r="A50" s="18">
        <v>10</v>
      </c>
      <c r="B50" s="4">
        <v>-0.805486638655367</v>
      </c>
      <c r="C50" s="11">
        <v>245.26913205326798</v>
      </c>
      <c r="D50" s="4">
        <v>-0.3788205015613247</v>
      </c>
      <c r="E50" s="4">
        <f t="shared" si="1"/>
        <v>0.8901200466540989</v>
      </c>
      <c r="F50" s="84">
        <f t="shared" si="2"/>
        <v>1.5187115506111089</v>
      </c>
      <c r="G50" s="87">
        <f t="shared" si="3"/>
        <v>462.4447457992325</v>
      </c>
      <c r="H50" s="89">
        <f t="shared" si="4"/>
        <v>0.714250297546688</v>
      </c>
      <c r="I50" s="89">
        <f t="shared" si="5"/>
        <v>1.6782843208184755</v>
      </c>
      <c r="J50" s="57">
        <f>E50*E$29/E$30</f>
        <v>0.41965449771758645</v>
      </c>
      <c r="K50" s="11">
        <f>L$33*E$14/120*F50^2/E$8*E$7*E$10*(E$10-1)*E$5/E$6</f>
        <v>142.15541419751946</v>
      </c>
      <c r="L50" s="11">
        <f>L$34*E$14/6*F50^2/E$9*E$7*E$5/E$6*(1+(G50*E$5/F50)^2/15)</f>
        <v>6074.658471856435</v>
      </c>
      <c r="M50" s="15">
        <f>L$35*E$14/8*H50^2/E$9*E$7*E$6/E$5</f>
        <v>6.312140111907796</v>
      </c>
      <c r="N50" s="11">
        <f>E$14*E$15*(E$12/E$11)^2*J50*(1-E$33)/E$34^2*(E$20/2/PI())^2/E$19*LN((E$18+E$19*J50)/(E$18+E$19*E$33*J50))</f>
        <v>3323.25698012949</v>
      </c>
      <c r="O50" s="11">
        <f t="shared" si="6"/>
        <v>10438.355779789572</v>
      </c>
      <c r="P50" s="11">
        <f t="shared" si="7"/>
        <v>7.299422816275248</v>
      </c>
      <c r="Q50" s="123">
        <f t="shared" si="8"/>
        <v>19992.038208901202</v>
      </c>
      <c r="R50" s="91">
        <f t="shared" si="9"/>
        <v>0.1577145185416721</v>
      </c>
      <c r="S50" s="28"/>
      <c r="T50" s="79">
        <f>SQRT(($B50-$C50*0.8*$E$5)^2+$D50^2)*$E$29/$E$30</f>
        <v>0.848803816532505</v>
      </c>
      <c r="U50" s="80">
        <f>SQRT(($B50-$C50*0.4*$E$5)^2+$D50^2)*$E$29/$E$30</f>
        <v>0.6305973861043889</v>
      </c>
      <c r="V50" s="80">
        <f>SQRT(($B50)^2+$D50^2)*$E$29/$E$30</f>
        <v>0.41965449771758645</v>
      </c>
      <c r="W50" s="80">
        <f>SQRT(($B50+$C50*0.4*$E$5)^2+$D50^2)*$E$29/$E$30</f>
        <v>0.23630154726298924</v>
      </c>
      <c r="X50" s="81">
        <f>SQRT(($B50+$C50*0.8*$E$5)^2+$D50^2)*$E$29/$E$30</f>
        <v>0.1919339332023823</v>
      </c>
      <c r="Y50" s="82">
        <f>$L$36*$E$14*$E$15*$E$17/$E$34*2/3*$E$21/PI()*($E$22*$E$23*LN((T50+$E$23)/($E$33*T50+$E$23))+$E$24*T50*(1-$E$33)+$E$25*T50^2/2*(1-$E$33^2))</f>
        <v>15796.78634819962</v>
      </c>
      <c r="Z50" s="82">
        <f>$L$36*$E$14*$E$15*$E$17/$E$34*2/3*$E$21/PI()*($E$22*$E$23*LN((U50+$E$23)/($E$33*U50+$E$23))+$E$24*U50*(1-$E$33)+$E$25*U50^2/2*(1-$E$33^2))</f>
        <v>13224.32593161943</v>
      </c>
      <c r="AA50" s="82">
        <f>$L$36*$E$14*$E$15*$E$17/$E$34*2/3*$E$21/PI()*($E$22*$E$23*LN((V50+$E$23)/($E$33*V50+$E$23))+$E$24*V50*(1-$E$33)+$E$25*V50^2/2*(1-$E$33^2))</f>
        <v>10245.801847988647</v>
      </c>
      <c r="AB50" s="82">
        <f>$L$36*$E$14*$E$15*$E$17/$E$34*2/3*$E$21/PI()*($E$22*$E$23*LN((W50+$E$23)/($E$33*W50+$E$23))+$E$24*W50*(1-$E$33)+$E$25*W50^2/2*(1-$E$33^2))</f>
        <v>6946.928653369698</v>
      </c>
      <c r="AC50" s="82">
        <f>$L$36*$E$14*$E$15*$E$17/$E$34*2/3*$E$21/PI()*($E$22*$E$23*LN((X50+$E$23)/($E$33*X50+$E$23))+$E$24*X50*(1-$E$33)+$E$25*X50^2/2*(1-$E$33^2))</f>
        <v>5977.936117770471</v>
      </c>
      <c r="AD50" s="72">
        <f>1/9/PI()*$E$21/$E$34*$E$28^2*T50*(3*T50+4*$E$27)/($E$26*$E$27*$E$14*$E$15*$E$17*16*$E$5^2*$E$6^2)</f>
        <v>15.97707172533456</v>
      </c>
      <c r="AE50" s="73">
        <f>1/9/PI()*$E$21/$E$34*$E$28^2*U50*(3*U50+4*$E$27)/($E$26*$E$27*$E$14*$E$15*$E$17*16*$E$5^2*$E$6^2)</f>
        <v>10.160683635903176</v>
      </c>
      <c r="AF50" s="73">
        <f>1/9/PI()*$E$21/$E$34*$E$28^2*V50*(3*V50+4*$E$27)/($E$26*$E$27*$E$14*$E$15*$E$17*16*$E$5^2*$E$6^2)</f>
        <v>5.662295132436886</v>
      </c>
      <c r="AG50" s="73">
        <f>1/9/PI()*$E$21/$E$34*$E$28^2*W50*(3*W50+4*$E$27)/($E$26*$E$27*$E$14*$E$15*$E$17*16*$E$5^2*$E$6^2)</f>
        <v>2.650216827292241</v>
      </c>
      <c r="AH50" s="74">
        <f>1/9/PI()*$E$21/$E$34*$E$28^2*X50*(3*X50+4*$E$27)/($E$26*$E$27*$E$14*$E$15*$E$17*16*$E$5^2*$E$6^2)</f>
        <v>2.046846760409374</v>
      </c>
      <c r="AI50" s="28"/>
      <c r="BX50"/>
    </row>
    <row r="51" spans="1:76" ht="16.5">
      <c r="A51" s="18">
        <v>11</v>
      </c>
      <c r="B51" s="4">
        <v>-0.8015244467186982</v>
      </c>
      <c r="C51" s="11">
        <v>243.52097485084414</v>
      </c>
      <c r="D51" s="4">
        <v>-0.42258181905155917</v>
      </c>
      <c r="E51" s="4">
        <f t="shared" si="1"/>
        <v>0.9060997916789518</v>
      </c>
      <c r="F51" s="84">
        <f t="shared" si="2"/>
        <v>1.5112410025334868</v>
      </c>
      <c r="G51" s="87">
        <f t="shared" si="3"/>
        <v>459.14866811377635</v>
      </c>
      <c r="H51" s="89">
        <f t="shared" si="4"/>
        <v>0.7967604412944786</v>
      </c>
      <c r="I51" s="89">
        <f t="shared" si="5"/>
        <v>1.7084134653385845</v>
      </c>
      <c r="J51" s="57">
        <f>E51*E$29/E$30</f>
        <v>0.4271882813878532</v>
      </c>
      <c r="K51" s="11">
        <f>L$33*E$14/120*F51^2/E$8*E$7*E$10*(E$10-1)*E$5/E$6</f>
        <v>140.7603277945093</v>
      </c>
      <c r="L51" s="11">
        <f>L$34*E$14/6*F51^2/E$9*E$7*E$5/E$6*(1+(G51*E$5/F51)^2/15)</f>
        <v>6011.639063759453</v>
      </c>
      <c r="M51" s="15">
        <f>L$35*E$14/8*H51^2/E$9*E$7*E$6/E$5</f>
        <v>7.854730656950548</v>
      </c>
      <c r="N51" s="11">
        <f>E$14*E$15*(E$12/E$11)^2*J51*(1-E$33)/E$34^2*(E$20/2/PI())^2/E$19*LN((E$18+E$19*J51)/(E$18+E$19*E$33*J51))</f>
        <v>3436.133699477597</v>
      </c>
      <c r="O51" s="11">
        <f t="shared" si="6"/>
        <v>10618.149166638494</v>
      </c>
      <c r="P51" s="11">
        <f t="shared" si="7"/>
        <v>7.434854661140065</v>
      </c>
      <c r="Q51" s="123">
        <f t="shared" si="8"/>
        <v>20221.971842988143</v>
      </c>
      <c r="R51" s="91">
        <f t="shared" si="9"/>
        <v>0.159528434262402</v>
      </c>
      <c r="S51" s="28"/>
      <c r="T51" s="79">
        <f>SQRT(($B51-$C51*0.8*$E$5)^2+$D51^2)*$E$29/$E$30</f>
        <v>0.8484486967858953</v>
      </c>
      <c r="U51" s="80">
        <f>SQRT(($B51-$C51*0.4*$E$5)^2+$D51^2)*$E$29/$E$30</f>
        <v>0.6334515820285844</v>
      </c>
      <c r="V51" s="80">
        <f>SQRT(($B51)^2+$D51^2)*$E$29/$E$30</f>
        <v>0.4271882813878532</v>
      </c>
      <c r="W51" s="80">
        <f>SQRT(($B51+$C51*0.4*$E$5)^2+$D51^2)*$E$29/$E$30</f>
        <v>0.2520951289086275</v>
      </c>
      <c r="X51" s="81">
        <f>SQRT(($B51+$C51*0.8*$E$5)^2+$D51^2)*$E$29/$E$30</f>
        <v>0.21082524888534107</v>
      </c>
      <c r="Y51" s="82">
        <f>$L$36*$E$14*$E$15*$E$17/$E$34*2/3*$E$21/PI()*($E$22*$E$23*LN((T51+$E$23)/($E$33*T51+$E$23))+$E$24*T51*(1-$E$33)+$E$25*T51^2/2*(1-$E$33^2))</f>
        <v>15792.900967227393</v>
      </c>
      <c r="Z51" s="82">
        <f>$L$36*$E$14*$E$15*$E$17/$E$34*2/3*$E$21/PI()*($E$22*$E$23*LN((U51+$E$23)/($E$33*U51+$E$23))+$E$24*U51*(1-$E$33)+$E$25*U51^2/2*(1-$E$33^2))</f>
        <v>13260.744803013522</v>
      </c>
      <c r="AA51" s="82">
        <f>$L$36*$E$14*$E$15*$E$17/$E$34*2/3*$E$21/PI()*($E$22*$E$23*LN((V51+$E$23)/($E$33*V51+$E$23))+$E$24*V51*(1-$E$33)+$E$25*V51^2/2*(1-$E$33^2))</f>
        <v>10364.00201629358</v>
      </c>
      <c r="AB51" s="82">
        <f>$L$36*$E$14*$E$15*$E$17/$E$34*2/3*$E$21/PI()*($E$22*$E$23*LN((W51+$E$23)/($E$33*W51+$E$23))+$E$24*W51*(1-$E$33)+$E$25*W51^2/2*(1-$E$33^2))</f>
        <v>7271.4869120398635</v>
      </c>
      <c r="AC51" s="82">
        <f>$L$36*$E$14*$E$15*$E$17/$E$34*2/3*$E$21/PI()*($E$22*$E$23*LN((X51+$E$23)/($E$33*X51+$E$23))+$E$24*X51*(1-$E$33)+$E$25*X51^2/2*(1-$E$33^2))</f>
        <v>6401.611134618106</v>
      </c>
      <c r="AD51" s="72">
        <f>1/9/PI()*$E$21/$E$34*$E$28^2*T51*(3*T51+4*$E$27)/($E$26*$E$27*$E$14*$E$15*$E$17*16*$E$5^2*$E$6^2)</f>
        <v>15.96664495456704</v>
      </c>
      <c r="AE51" s="73">
        <f>1/9/PI()*$E$21/$E$34*$E$28^2*U51*(3*U51+4*$E$27)/($E$26*$E$27*$E$14*$E$15*$E$17*16*$E$5^2*$E$6^2)</f>
        <v>10.229129068748456</v>
      </c>
      <c r="AF51" s="73">
        <f>1/9/PI()*$E$21/$E$34*$E$28^2*V51*(3*V51+4*$E$27)/($E$26*$E$27*$E$14*$E$15*$E$17*16*$E$5^2*$E$6^2)</f>
        <v>5.803920372930226</v>
      </c>
      <c r="AG51" s="73">
        <f>1/9/PI()*$E$21/$E$34*$E$28^2*W51*(3*W51+4*$E$27)/($E$26*$E$27*$E$14*$E$15*$E$17*16*$E$5^2*$E$6^2)</f>
        <v>2.8768006034520277</v>
      </c>
      <c r="AH51" s="74">
        <f>1/9/PI()*$E$21/$E$34*$E$28^2*X51*(3*X51+4*$E$27)/($E$26*$E$27*$E$14*$E$15*$E$17*16*$E$5^2*$E$6^2)</f>
        <v>2.297778306002575</v>
      </c>
      <c r="AI51" s="28"/>
      <c r="BX51"/>
    </row>
    <row r="52" spans="1:76" ht="16.5">
      <c r="A52" s="18">
        <v>12</v>
      </c>
      <c r="B52" s="4">
        <v>-0.7970047609221869</v>
      </c>
      <c r="C52" s="11">
        <v>241.13815804634072</v>
      </c>
      <c r="D52" s="4">
        <v>-0.4676103714250752</v>
      </c>
      <c r="E52" s="4">
        <f t="shared" si="1"/>
        <v>0.924054137156979</v>
      </c>
      <c r="F52" s="84">
        <f t="shared" si="2"/>
        <v>1.5027193229737201</v>
      </c>
      <c r="G52" s="87">
        <f t="shared" si="3"/>
        <v>454.6559661491222</v>
      </c>
      <c r="H52" s="89">
        <f t="shared" si="4"/>
        <v>0.8816599037003539</v>
      </c>
      <c r="I52" s="89">
        <f t="shared" si="5"/>
        <v>1.7422656368738705</v>
      </c>
      <c r="J52" s="57">
        <f>E52*E$29/E$30</f>
        <v>0.4356530068614022</v>
      </c>
      <c r="K52" s="11">
        <f>L$33*E$14/120*F52^2/E$8*E$7*E$10*(E$10-1)*E$5/E$6</f>
        <v>139.1773473724044</v>
      </c>
      <c r="L52" s="11">
        <f>L$34*E$14/6*F52^2/E$9*E$7*E$5/E$6*(1+(G52*E$5/F52)^2/15)</f>
        <v>5937.744061291199</v>
      </c>
      <c r="M52" s="15">
        <f>L$35*E$14/8*H52^2/E$9*E$7*E$6/E$5</f>
        <v>9.61784892759675</v>
      </c>
      <c r="N52" s="11">
        <f>E$14*E$15*(E$12/E$11)^2*J52*(1-E$33)/E$34^2*(E$20/2/PI())^2/E$19*LN((E$18+E$19*J52)/(E$18+E$19*E$33*J52))</f>
        <v>3564.9281600239738</v>
      </c>
      <c r="O52" s="11">
        <f t="shared" si="6"/>
        <v>10801.92720551048</v>
      </c>
      <c r="P52" s="11">
        <f t="shared" si="7"/>
        <v>7.579244366669212</v>
      </c>
      <c r="Q52" s="123">
        <f t="shared" si="8"/>
        <v>20460.973867492325</v>
      </c>
      <c r="R52" s="91">
        <f t="shared" si="9"/>
        <v>0.16141388930361833</v>
      </c>
      <c r="S52" s="28"/>
      <c r="T52" s="79">
        <f>SQRT(($B52-$C52*0.8*$E$5)^2+$D52^2)*$E$29/$E$30</f>
        <v>0.8474022164682903</v>
      </c>
      <c r="U52" s="80">
        <f>SQRT(($B52-$C52*0.4*$E$5)^2+$D52^2)*$E$29/$E$30</f>
        <v>0.6363941394996522</v>
      </c>
      <c r="V52" s="80">
        <f>SQRT(($B52)^2+$D52^2)*$E$29/$E$30</f>
        <v>0.4356530068614022</v>
      </c>
      <c r="W52" s="80">
        <f>SQRT(($B52+$C52*0.4*$E$5)^2+$D52^2)*$E$29/$E$30</f>
        <v>0.26921857526739423</v>
      </c>
      <c r="X52" s="81">
        <f>SQRT(($B52+$C52*0.8*$E$5)^2+$D52^2)*$E$29/$E$30</f>
        <v>0.23033192882094491</v>
      </c>
      <c r="Y52" s="82">
        <f>$L$36*$E$14*$E$15*$E$17/$E$34*2/3*$E$21/PI()*($E$22*$E$23*LN((T52+$E$23)/($E$33*T52+$E$23))+$E$24*T52*(1-$E$33)+$E$25*T52^2/2*(1-$E$33^2))</f>
        <v>15781.446428422116</v>
      </c>
      <c r="Z52" s="82">
        <f>$L$36*$E$14*$E$15*$E$17/$E$34*2/3*$E$21/PI()*($E$22*$E$23*LN((U52+$E$23)/($E$33*U52+$E$23))+$E$24*U52*(1-$E$33)+$E$25*U52^2/2*(1-$E$33^2))</f>
        <v>13298.201863555742</v>
      </c>
      <c r="AA52" s="82">
        <f>$L$36*$E$14*$E$15*$E$17/$E$34*2/3*$E$21/PI()*($E$22*$E$23*LN((V52+$E$23)/($E$33*V52+$E$23))+$E$24*V52*(1-$E$33)+$E$25*V52^2/2*(1-$E$33^2))</f>
        <v>10495.547404036639</v>
      </c>
      <c r="AB52" s="82">
        <f>$L$36*$E$14*$E$15*$E$17/$E$34*2/3*$E$21/PI()*($E$22*$E$23*LN((W52+$E$23)/($E$33*W52+$E$23))+$E$24*W52*(1-$E$33)+$E$25*W52^2/2*(1-$E$33^2))</f>
        <v>7612.788232026503</v>
      </c>
      <c r="AC52" s="82">
        <f>$L$36*$E$14*$E$15*$E$17/$E$34*2/3*$E$21/PI()*($E$22*$E$23*LN((X52+$E$23)/($E$33*X52+$E$23))+$E$24*X52*(1-$E$33)+$E$25*X52^2/2*(1-$E$33^2))</f>
        <v>6821.652099511397</v>
      </c>
      <c r="AD52" s="72">
        <f>1/9/PI()*$E$21/$E$34*$E$28^2*T52*(3*T52+4*$E$27)/($E$26*$E$27*$E$14*$E$15*$E$17*16*$E$5^2*$E$6^2)</f>
        <v>15.935937169478182</v>
      </c>
      <c r="AE52" s="73">
        <f>1/9/PI()*$E$21/$E$34*$E$28^2*U52*(3*U52+4*$E$27)/($E$26*$E$27*$E$14*$E$15*$E$17*16*$E$5^2*$E$6^2)</f>
        <v>10.29990532922067</v>
      </c>
      <c r="AF52" s="73">
        <f>1/9/PI()*$E$21/$E$34*$E$28^2*V52*(3*V52+4*$E$27)/($E$26*$E$27*$E$14*$E$15*$E$17*16*$E$5^2*$E$6^2)</f>
        <v>5.9647281309204665</v>
      </c>
      <c r="AG52" s="73">
        <f>1/9/PI()*$E$21/$E$34*$E$28^2*W52*(3*W52+4*$E$27)/($E$26*$E$27*$E$14*$E$15*$E$17*16*$E$5^2*$E$6^2)</f>
        <v>3.1294642859758133</v>
      </c>
      <c r="AH52" s="74">
        <f>1/9/PI()*$E$21/$E$34*$E$28^2*X52*(3*X52+4*$E$27)/($E$26*$E$27*$E$14*$E$15*$E$17*16*$E$5^2*$E$6^2)</f>
        <v>2.5661869177509273</v>
      </c>
      <c r="AI52" s="28"/>
      <c r="BX52"/>
    </row>
    <row r="53" spans="1:76" ht="16.5">
      <c r="A53" s="18">
        <v>13</v>
      </c>
      <c r="B53" s="4">
        <v>-0.7918310116276626</v>
      </c>
      <c r="C53" s="11">
        <v>238.16823057209103</v>
      </c>
      <c r="D53" s="4">
        <v>-0.5142884104791888</v>
      </c>
      <c r="E53" s="4">
        <f t="shared" si="1"/>
        <v>0.9441869095303631</v>
      </c>
      <c r="F53" s="84">
        <f t="shared" si="2"/>
        <v>1.4929644338961345</v>
      </c>
      <c r="G53" s="87">
        <f t="shared" si="3"/>
        <v>449.05629143924773</v>
      </c>
      <c r="H53" s="89">
        <f t="shared" si="4"/>
        <v>0.9696694046272709</v>
      </c>
      <c r="I53" s="89">
        <f t="shared" si="5"/>
        <v>1.7802251417023107</v>
      </c>
      <c r="J53" s="57">
        <f>E53*E$29/E$30</f>
        <v>0.44514476980930284</v>
      </c>
      <c r="K53" s="11">
        <f>L$33*E$14/120*F53^2/E$8*E$7*E$10*(E$10-1)*E$5/E$6</f>
        <v>137.37627521275627</v>
      </c>
      <c r="L53" s="11">
        <f>L$34*E$14/6*F53^2/E$9*E$7*E$5/E$6*(1+(G53*E$5/F53)^2/15)</f>
        <v>5852.256546483272</v>
      </c>
      <c r="M53" s="15">
        <f>L$35*E$14/8*H53^2/E$9*E$7*E$6/E$5</f>
        <v>11.633841859939666</v>
      </c>
      <c r="N53" s="11">
        <f>E$14*E$15*(E$12/E$11)^2*J53*(1-E$33)/E$34^2*(E$20/2/PI())^2/E$19*LN((E$18+E$19*J53)/(E$18+E$19*E$33*J53))</f>
        <v>3711.811802711517</v>
      </c>
      <c r="O53" s="11">
        <f t="shared" si="6"/>
        <v>10991.307953487443</v>
      </c>
      <c r="P53" s="11">
        <f t="shared" si="7"/>
        <v>7.73597180252054</v>
      </c>
      <c r="Q53" s="123">
        <f t="shared" si="8"/>
        <v>20712.12239155745</v>
      </c>
      <c r="R53" s="91">
        <f t="shared" si="9"/>
        <v>0.1633951664571277</v>
      </c>
      <c r="S53" s="28"/>
      <c r="T53" s="79">
        <f>SQRT(($B53-$C53*0.8*$E$5)^2+$D53^2)*$E$29/$E$30</f>
        <v>0.8458313432628252</v>
      </c>
      <c r="U53" s="80">
        <f>SQRT(($B53-$C53*0.4*$E$5)^2+$D53^2)*$E$29/$E$30</f>
        <v>0.6395669946096715</v>
      </c>
      <c r="V53" s="80">
        <f>SQRT(($B53)^2+$D53^2)*$E$29/$E$30</f>
        <v>0.44514476980930284</v>
      </c>
      <c r="W53" s="80">
        <f>SQRT(($B53+$C53*0.4*$E$5)^2+$D53^2)*$E$29/$E$30</f>
        <v>0.2876707105865746</v>
      </c>
      <c r="X53" s="81">
        <f>SQRT(($B53+$C53*0.8*$E$5)^2+$D53^2)*$E$29/$E$30</f>
        <v>0.25069434679798824</v>
      </c>
      <c r="Y53" s="82">
        <f>$L$36*$E$14*$E$15*$E$17/$E$34*2/3*$E$21/PI()*($E$22*$E$23*LN((T53+$E$23)/($E$33*T53+$E$23))+$E$24*T53*(1-$E$33)+$E$25*T53^2/2*(1-$E$33^2))</f>
        <v>15764.238099815486</v>
      </c>
      <c r="Z53" s="82">
        <f>$L$36*$E$14*$E$15*$E$17/$E$34*2/3*$E$21/PI()*($E$22*$E$23*LN((U53+$E$23)/($E$33*U53+$E$23))+$E$24*U53*(1-$E$33)+$E$25*U53^2/2*(1-$E$33^2))</f>
        <v>13338.489629913965</v>
      </c>
      <c r="AA53" s="82">
        <f>$L$36*$E$14*$E$15*$E$17/$E$34*2/3*$E$21/PI()*($E$22*$E$23*LN((V53+$E$23)/($E$33*V53+$E$23))+$E$24*V53*(1-$E$33)+$E$25*V53^2/2*(1-$E$33^2))</f>
        <v>10641.51054081364</v>
      </c>
      <c r="AB53" s="82">
        <f>$L$36*$E$14*$E$15*$E$17/$E$34*2/3*$E$21/PI()*($E$22*$E$23*LN((W53+$E$23)/($E$33*W53+$E$23))+$E$24*W53*(1-$E$33)+$E$25*W53^2/2*(1-$E$33^2))</f>
        <v>7969.21059456367</v>
      </c>
      <c r="AC53" s="82">
        <f>$L$36*$E$14*$E$15*$E$17/$E$34*2/3*$E$21/PI()*($E$22*$E$23*LN((X53+$E$23)/($E$33*X53+$E$23))+$E$24*X53*(1-$E$33)+$E$25*X53^2/2*(1-$E$33^2))</f>
        <v>7243.0909023304475</v>
      </c>
      <c r="AD53" s="72">
        <f>1/9/PI()*$E$21/$E$34*$E$28^2*T53*(3*T53+4*$E$27)/($E$26*$E$27*$E$14*$E$15*$E$17*16*$E$5^2*$E$6^2)</f>
        <v>15.889892733963158</v>
      </c>
      <c r="AE53" s="73">
        <f>1/9/PI()*$E$21/$E$34*$E$28^2*U53*(3*U53+4*$E$27)/($E$26*$E$27*$E$14*$E$15*$E$17*16*$E$5^2*$E$6^2)</f>
        <v>10.376461855460064</v>
      </c>
      <c r="AF53" s="73">
        <f>1/9/PI()*$E$21/$E$34*$E$28^2*V53*(3*V53+4*$E$27)/($E$26*$E$27*$E$14*$E$15*$E$17*16*$E$5^2*$E$6^2)</f>
        <v>6.147163878825839</v>
      </c>
      <c r="AG53" s="73">
        <f>1/9/PI()*$E$21/$E$34*$E$28^2*W53*(3*W53+4*$E$27)/($E$26*$E$27*$E$14*$E$15*$E$17*16*$E$5^2*$E$6^2)</f>
        <v>3.4098867778676536</v>
      </c>
      <c r="AH53" s="74">
        <f>1/9/PI()*$E$21/$E$34*$E$28^2*X53*(3*X53+4*$E$27)/($E$26*$E$27*$E$14*$E$15*$E$17*16*$E$5^2*$E$6^2)</f>
        <v>2.856453766485983</v>
      </c>
      <c r="AI53" s="28"/>
      <c r="BX53"/>
    </row>
    <row r="54" spans="1:76" ht="16.5">
      <c r="A54" s="18">
        <v>14</v>
      </c>
      <c r="B54" s="4">
        <v>-0.7860744857851696</v>
      </c>
      <c r="C54" s="11">
        <v>234.15578260976827</v>
      </c>
      <c r="D54" s="4">
        <v>-0.5627596874814667</v>
      </c>
      <c r="E54" s="4">
        <f t="shared" si="1"/>
        <v>0.96675310346368</v>
      </c>
      <c r="F54" s="84">
        <f t="shared" si="2"/>
        <v>1.4821107438796504</v>
      </c>
      <c r="G54" s="87">
        <f t="shared" si="3"/>
        <v>441.49098771580157</v>
      </c>
      <c r="H54" s="89">
        <f t="shared" si="4"/>
        <v>1.061059981110472</v>
      </c>
      <c r="I54" s="89">
        <f t="shared" si="5"/>
        <v>1.8227727616567146</v>
      </c>
      <c r="J54" s="57">
        <f>E54*E$29/E$30</f>
        <v>0.45578378958655746</v>
      </c>
      <c r="K54" s="11">
        <f>L$33*E$14/120*F54^2/E$8*E$7*E$10*(E$10-1)*E$5/E$6</f>
        <v>135.3861143957309</v>
      </c>
      <c r="L54" s="11">
        <f>L$34*E$14/6*F54^2/E$9*E$7*E$5/E$6*(1+(G54*E$5/F54)^2/15)</f>
        <v>5753.641230757975</v>
      </c>
      <c r="M54" s="15">
        <f>L$35*E$14/8*H54^2/E$9*E$7*E$6/E$5</f>
        <v>13.930145110804455</v>
      </c>
      <c r="N54" s="11">
        <f>E$14*E$15*(E$12/E$11)^2*J54*(1-E$33)/E$34^2*(E$20/2/PI())^2/E$19*LN((E$18+E$19*J54)/(E$18+E$19*E$33*J54))</f>
        <v>3879.520143397539</v>
      </c>
      <c r="O54" s="11">
        <f t="shared" si="6"/>
        <v>11184.588656749493</v>
      </c>
      <c r="P54" s="11">
        <f t="shared" si="7"/>
        <v>7.901827857425408</v>
      </c>
      <c r="Q54" s="123">
        <f t="shared" si="8"/>
        <v>20974.968118268967</v>
      </c>
      <c r="R54" s="91">
        <f t="shared" si="9"/>
        <v>0.16546872127959628</v>
      </c>
      <c r="S54" s="28"/>
      <c r="T54" s="79">
        <f>SQRT(($B54-$C54*0.8*$E$5)^2+$D54^2)*$E$29/$E$30</f>
        <v>0.8430928475750528</v>
      </c>
      <c r="U54" s="80">
        <f>SQRT(($B54-$C54*0.4*$E$5)^2+$D54^2)*$E$29/$E$30</f>
        <v>0.6427449784325214</v>
      </c>
      <c r="V54" s="80">
        <f>SQRT(($B54)^2+$D54^2)*$E$29/$E$30</f>
        <v>0.45578378958655746</v>
      </c>
      <c r="W54" s="80">
        <f>SQRT(($B54+$C54*0.4*$E$5)^2+$D54^2)*$E$29/$E$30</f>
        <v>0.30766672923992516</v>
      </c>
      <c r="X54" s="81">
        <f>SQRT(($B54+$C54*0.8*$E$5)^2+$D54^2)*$E$29/$E$30</f>
        <v>0.27181053620886914</v>
      </c>
      <c r="Y54" s="82">
        <f>$L$36*$E$14*$E$15*$E$17/$E$34*2/3*$E$21/PI()*($E$22*$E$23*LN((T54+$E$23)/($E$33*T54+$E$23))+$E$24*T54*(1-$E$33)+$E$25*T54^2/2*(1-$E$33^2))</f>
        <v>15734.198871908067</v>
      </c>
      <c r="Z54" s="82">
        <f>$L$36*$E$14*$E$15*$E$17/$E$34*2/3*$E$21/PI()*($E$22*$E$23*LN((U54+$E$23)/($E$33*U54+$E$23))+$E$24*U54*(1-$E$33)+$E$25*U54^2/2*(1-$E$33^2))</f>
        <v>13378.738376284722</v>
      </c>
      <c r="AA54" s="82">
        <f>$L$36*$E$14*$E$15*$E$17/$E$34*2/3*$E$21/PI()*($E$22*$E$23*LN((V54+$E$23)/($E$33*V54+$E$23))+$E$24*V54*(1-$E$33)+$E$25*V54^2/2*(1-$E$33^2))</f>
        <v>10803.236237618214</v>
      </c>
      <c r="AB54" s="82">
        <f>$L$36*$E$14*$E$15*$E$17/$E$34*2/3*$E$21/PI()*($E$22*$E$23*LN((W54+$E$23)/($E$33*W54+$E$23))+$E$24*W54*(1-$E$33)+$E$25*W54^2/2*(1-$E$33^2))</f>
        <v>8343.225327596534</v>
      </c>
      <c r="AC54" s="82">
        <f>$L$36*$E$14*$E$15*$E$17/$E$34*2/3*$E$21/PI()*($E$22*$E$23*LN((X54+$E$23)/($E$33*X54+$E$23))+$E$24*X54*(1-$E$33)+$E$25*X54^2/2*(1-$E$33^2))</f>
        <v>7663.544470339924</v>
      </c>
      <c r="AD54" s="72">
        <f>1/9/PI()*$E$21/$E$34*$E$28^2*T54*(3*T54+4*$E$27)/($E$26*$E$27*$E$14*$E$15*$E$17*16*$E$5^2*$E$6^2)</f>
        <v>15.809770269226354</v>
      </c>
      <c r="AE54" s="73">
        <f>1/9/PI()*$E$21/$E$34*$E$28^2*U54*(3*U54+4*$E$27)/($E$26*$E$27*$E$14*$E$15*$E$17*16*$E$5^2*$E$6^2)</f>
        <v>10.4533928134781</v>
      </c>
      <c r="AF54" s="73">
        <f>1/9/PI()*$E$21/$E$34*$E$28^2*V54*(3*V54+4*$E$27)/($E$26*$E$27*$E$14*$E$15*$E$17*16*$E$5^2*$E$6^2)</f>
        <v>6.354310535207088</v>
      </c>
      <c r="AG54" s="73">
        <f>1/9/PI()*$E$21/$E$34*$E$28^2*W54*(3*W54+4*$E$27)/($E$26*$E$27*$E$14*$E$15*$E$17*16*$E$5^2*$E$6^2)</f>
        <v>3.7233211931031738</v>
      </c>
      <c r="AH54" s="74">
        <f>1/9/PI()*$E$21/$E$34*$E$28^2*X54*(3*X54+4*$E$27)/($E$26*$E$27*$E$14*$E$15*$E$17*16*$E$5^2*$E$6^2)</f>
        <v>3.168344476112322</v>
      </c>
      <c r="AI54" s="28"/>
      <c r="BX54"/>
    </row>
    <row r="55" spans="1:76" ht="16.5">
      <c r="A55" s="18">
        <v>15</v>
      </c>
      <c r="B55" s="4">
        <v>-0.7797235727397585</v>
      </c>
      <c r="C55" s="11">
        <v>228.70524440167958</v>
      </c>
      <c r="D55" s="4">
        <v>-0.6155142377819834</v>
      </c>
      <c r="E55" s="4">
        <f t="shared" si="1"/>
        <v>0.9933914771118129</v>
      </c>
      <c r="F55" s="84">
        <f t="shared" si="2"/>
        <v>1.4701363615173386</v>
      </c>
      <c r="G55" s="87">
        <f t="shared" si="3"/>
        <v>431.21422465553536</v>
      </c>
      <c r="H55" s="89">
        <f t="shared" si="4"/>
        <v>1.160526491222217</v>
      </c>
      <c r="I55" s="89">
        <f t="shared" si="5"/>
        <v>1.8729983070691734</v>
      </c>
      <c r="J55" s="57">
        <f>E55*E$29/E$30</f>
        <v>0.46834267235224886</v>
      </c>
      <c r="K55" s="11">
        <f>L$33*E$14/120*F55^2/E$8*E$7*E$10*(E$10-1)*E$5/E$6</f>
        <v>133.2073080055633</v>
      </c>
      <c r="L55" s="11">
        <f>L$34*E$14/6*F55^2/E$9*E$7*E$5/E$6*(1+(G55*E$5/F55)^2/15)</f>
        <v>5639.904175846004</v>
      </c>
      <c r="M55" s="15">
        <f>L$35*E$14/8*H55^2/E$9*E$7*E$6/E$5</f>
        <v>16.664254417874695</v>
      </c>
      <c r="N55" s="11">
        <f>E$14*E$15*(E$12/E$11)^2*J55*(1-E$33)/E$34^2*(E$20/2/PI())^2/E$19*LN((E$18+E$19*J55)/(E$18+E$19*E$33*J55))</f>
        <v>4081.6344455327644</v>
      </c>
      <c r="O55" s="11">
        <f t="shared" si="6"/>
        <v>11392.279136559277</v>
      </c>
      <c r="P55" s="11">
        <f t="shared" si="7"/>
        <v>8.088729451700583</v>
      </c>
      <c r="Q55" s="123">
        <f t="shared" si="8"/>
        <v>21271.778049813183</v>
      </c>
      <c r="R55" s="91">
        <f t="shared" si="9"/>
        <v>0.1678102151764537</v>
      </c>
      <c r="S55" s="28"/>
      <c r="T55" s="79">
        <f>SQRT(($B55-$C55*0.8*$E$5)^2+$D55^2)*$E$29/$E$30</f>
        <v>0.8390419069887993</v>
      </c>
      <c r="U55" s="80">
        <f>SQRT(($B55-$C55*0.4*$E$5)^2+$D55^2)*$E$29/$E$30</f>
        <v>0.6462511433006275</v>
      </c>
      <c r="V55" s="80">
        <f>SQRT(($B55)^2+$D55^2)*$E$29/$E$30</f>
        <v>0.46834267235224886</v>
      </c>
      <c r="W55" s="80">
        <f>SQRT(($B55+$C55*0.4*$E$5)^2+$D55^2)*$E$29/$E$30</f>
        <v>0.3303093660031972</v>
      </c>
      <c r="X55" s="81">
        <f>SQRT(($B55+$C55*0.8*$E$5)^2+$D55^2)*$E$29/$E$30</f>
        <v>0.2948199379070771</v>
      </c>
      <c r="Y55" s="82">
        <f>$L$36*$E$14*$E$15*$E$17/$E$34*2/3*$E$21/PI()*($E$22*$E$23*LN((T55+$E$23)/($E$33*T55+$E$23))+$E$24*T55*(1-$E$33)+$E$25*T55^2/2*(1-$E$33^2))</f>
        <v>15689.66935477692</v>
      </c>
      <c r="Z55" s="82">
        <f>$L$36*$E$14*$E$15*$E$17/$E$34*2/3*$E$21/PI()*($E$22*$E$23*LN((U55+$E$23)/($E$33*U55+$E$23))+$E$24*U55*(1-$E$33)+$E$25*U55^2/2*(1-$E$33^2))</f>
        <v>13423.023489427784</v>
      </c>
      <c r="AA55" s="82">
        <f>$L$36*$E$14*$E$15*$E$17/$E$34*2/3*$E$21/PI()*($E$22*$E$23*LN((V55+$E$23)/($E$33*V55+$E$23))+$E$24*V55*(1-$E$33)+$E$25*V55^2/2*(1-$E$33^2))</f>
        <v>10991.675994191817</v>
      </c>
      <c r="AB55" s="82">
        <f>$L$36*$E$14*$E$15*$E$17/$E$34*2/3*$E$21/PI()*($E$22*$E$23*LN((W55+$E$23)/($E$33*W55+$E$23))+$E$24*W55*(1-$E$33)+$E$25*W55^2/2*(1-$E$33^2))</f>
        <v>8752.68784786549</v>
      </c>
      <c r="AC55" s="82">
        <f>$L$36*$E$14*$E$15*$E$17/$E$34*2/3*$E$21/PI()*($E$22*$E$23*LN((X55+$E$23)/($E$33*X55+$E$23))+$E$24*X55*(1-$E$33)+$E$25*X55^2/2*(1-$E$33^2))</f>
        <v>8104.338996534374</v>
      </c>
      <c r="AD55" s="72">
        <f>1/9/PI()*$E$21/$E$34*$E$28^2*T55*(3*T55+4*$E$27)/($E$26*$E$27*$E$14*$E$15*$E$17*16*$E$5^2*$E$6^2)</f>
        <v>15.691590114623986</v>
      </c>
      <c r="AE55" s="73">
        <f>1/9/PI()*$E$21/$E$34*$E$28^2*U55*(3*U55+4*$E$27)/($E$26*$E$27*$E$14*$E$15*$E$17*16*$E$5^2*$E$6^2)</f>
        <v>10.538559290995808</v>
      </c>
      <c r="AF55" s="73">
        <f>1/9/PI()*$E$21/$E$34*$E$28^2*V55*(3*V55+4*$E$27)/($E$26*$E$27*$E$14*$E$15*$E$17*16*$E$5^2*$E$6^2)</f>
        <v>6.602456428375692</v>
      </c>
      <c r="AG55" s="73">
        <f>1/9/PI()*$E$21/$E$34*$E$28^2*W55*(3*W55+4*$E$27)/($E$26*$E$27*$E$14*$E$15*$E$17*16*$E$5^2*$E$6^2)</f>
        <v>4.090232409242117</v>
      </c>
      <c r="AH55" s="74">
        <f>1/9/PI()*$E$21/$E$34*$E$28^2*X55*(3*X55+4*$E$27)/($E$26*$E$27*$E$14*$E$15*$E$17*16*$E$5^2*$E$6^2)</f>
        <v>3.5208090152653124</v>
      </c>
      <c r="AI55" s="28"/>
      <c r="BX55"/>
    </row>
    <row r="56" spans="1:76" ht="16.5">
      <c r="A56" s="15">
        <v>15.673373548625944</v>
      </c>
      <c r="B56" s="4">
        <v>-0.7724384853461057</v>
      </c>
      <c r="C56" s="11">
        <v>221.49363573046517</v>
      </c>
      <c r="D56" s="4">
        <v>-0.6088285186356931</v>
      </c>
      <c r="E56" s="4">
        <f t="shared" si="1"/>
        <v>0.9835310766559023</v>
      </c>
      <c r="F56" s="84">
        <f t="shared" si="2"/>
        <v>1.4564006322811325</v>
      </c>
      <c r="G56" s="87">
        <f t="shared" si="3"/>
        <v>417.6170364939244</v>
      </c>
      <c r="H56" s="89">
        <f t="shared" si="4"/>
        <v>1.147920845883937</v>
      </c>
      <c r="I56" s="89">
        <f t="shared" si="5"/>
        <v>1.8544069321817624</v>
      </c>
      <c r="J56" s="57">
        <f>E56*E$29/E$30</f>
        <v>0.4636939045639334</v>
      </c>
      <c r="K56" s="11">
        <f>L$33*E$14/120*F56^2/E$8*E$7*E$10*(E$10-1)*E$5/E$6</f>
        <v>130.7297801124469</v>
      </c>
      <c r="L56" s="11">
        <f>L$34*E$14/6*F56^2/E$9*E$7*E$5/E$6*(1+(G56*E$5/F56)^2/15)</f>
        <v>5505.702726144249</v>
      </c>
      <c r="M56" s="15">
        <f>L$35*E$14/8*H56^2/E$9*E$7*E$6/E$5</f>
        <v>16.304206067146428</v>
      </c>
      <c r="N56" s="11">
        <f>E$14*E$15*(E$12/E$11)^2*J56*(1-E$33)/E$34^2*(E$20/2/PI())^2/E$19*LN((E$18+E$19*J56)/(E$18+E$19*E$33*J56))</f>
        <v>4006.2999656831093</v>
      </c>
      <c r="O56" s="11">
        <f t="shared" si="6"/>
        <v>11293.014596661595</v>
      </c>
      <c r="P56" s="11">
        <f t="shared" si="7"/>
        <v>7.904629620544337</v>
      </c>
      <c r="Q56" s="123">
        <f t="shared" si="8"/>
        <v>20959.955904289094</v>
      </c>
      <c r="R56" s="91">
        <f>Q56*J$29*(A56-A55)</f>
        <v>0.11134251284263719</v>
      </c>
      <c r="S56" s="28"/>
      <c r="T56" s="79">
        <f>SQRT(($B56-$C56*0.8*$E$5)^2+$D56^2)*$E$29/$E$30</f>
        <v>0.822317822633339</v>
      </c>
      <c r="U56" s="80">
        <f>SQRT(($B56-$C56*0.4*$E$5)^2+$D56^2)*$E$29/$E$30</f>
        <v>0.6358573546635953</v>
      </c>
      <c r="V56" s="80">
        <f>SQRT(($B56)^2+$D56^2)*$E$29/$E$30</f>
        <v>0.4636939045639334</v>
      </c>
      <c r="W56" s="80">
        <f>SQRT(($B56+$C56*0.4*$E$5)^2+$D56^2)*$E$29/$E$30</f>
        <v>0.3290881133835112</v>
      </c>
      <c r="X56" s="81">
        <f>SQRT(($B56+$C56*0.8*$E$5)^2+$D56^2)*$E$29/$E$30</f>
        <v>0.2901300108597915</v>
      </c>
      <c r="Y56" s="82">
        <f>$L$36*$E$14*$E$15*$E$17/$E$34*2/3*$E$21/PI()*($E$22*$E$23*LN((T56+$E$23)/($E$33*T56+$E$23))+$E$24*T56*(1-$E$33)+$E$25*T56^2/2*(1-$E$33^2))</f>
        <v>15504.630460277152</v>
      </c>
      <c r="Z56" s="82">
        <f>$L$36*$E$14*$E$15*$E$17/$E$34*2/3*$E$21/PI()*($E$22*$E$23*LN((U56+$E$23)/($E$33*U56+$E$23))+$E$24*U56*(1-$E$33)+$E$25*U56^2/2*(1-$E$33^2))</f>
        <v>13291.375633587852</v>
      </c>
      <c r="AA56" s="82">
        <f>$L$36*$E$14*$E$15*$E$17/$E$34*2/3*$E$21/PI()*($E$22*$E$23*LN((V56+$E$23)/($E$33*V56+$E$23))+$E$24*V56*(1-$E$33)+$E$25*V56^2/2*(1-$E$33^2))</f>
        <v>10922.229316893934</v>
      </c>
      <c r="AB56" s="82">
        <f>$L$36*$E$14*$E$15*$E$17/$E$34*2/3*$E$21/PI()*($E$22*$E$23*LN((W56+$E$23)/($E$33*W56+$E$23))+$E$24*W56*(1-$E$33)+$E$25*W56^2/2*(1-$E$33^2))</f>
        <v>8730.962324692642</v>
      </c>
      <c r="AC56" s="82">
        <f>$L$36*$E$14*$E$15*$E$17/$E$34*2/3*$E$21/PI()*($E$22*$E$23*LN((X56+$E$23)/($E$33*X56+$E$23))+$E$24*X56*(1-$E$33)+$E$25*X56^2/2*(1-$E$33^2))</f>
        <v>8015.87524785639</v>
      </c>
      <c r="AD56" s="72">
        <f>1/9/PI()*$E$21/$E$34*$E$28^2*T56*(3*T56+4*$E$27)/($E$26*$E$27*$E$14*$E$15*$E$17*16*$E$5^2*$E$6^2)</f>
        <v>15.20800532890219</v>
      </c>
      <c r="AE56" s="73">
        <f>1/9/PI()*$E$21/$E$34*$E$28^2*U56*(3*U56+4*$E$27)/($E$26*$E$27*$E$14*$E$15*$E$17*16*$E$5^2*$E$6^2)</f>
        <v>10.286978199813202</v>
      </c>
      <c r="AF56" s="73">
        <f>1/9/PI()*$E$21/$E$34*$E$28^2*V56*(3*V56+4*$E$27)/($E$26*$E$27*$E$14*$E$15*$E$17*16*$E$5^2*$E$6^2)</f>
        <v>6.5101465691939016</v>
      </c>
      <c r="AG56" s="73">
        <f>1/9/PI()*$E$21/$E$34*$E$28^2*W56*(3*W56+4*$E$27)/($E$26*$E$27*$E$14*$E$15*$E$17*16*$E$5^2*$E$6^2)</f>
        <v>4.070117762012526</v>
      </c>
      <c r="AH56" s="74">
        <f>1/9/PI()*$E$21/$E$34*$E$28^2*X56*(3*X56+4*$E$27)/($E$26*$E$27*$E$14*$E$15*$E$17*16*$E$5^2*$E$6^2)</f>
        <v>3.4479002427998666</v>
      </c>
      <c r="AI56" s="28"/>
      <c r="BX56"/>
    </row>
    <row r="57" spans="2:76" ht="6" customHeight="1">
      <c r="B57" s="4"/>
      <c r="D57" s="4"/>
      <c r="E57" s="4"/>
      <c r="F57" s="84"/>
      <c r="G57" s="87"/>
      <c r="H57" s="89"/>
      <c r="I57" s="89"/>
      <c r="J57" s="57"/>
      <c r="L57" s="11"/>
      <c r="M57" s="15"/>
      <c r="N57" s="11"/>
      <c r="O57" s="11"/>
      <c r="P57" s="11"/>
      <c r="Q57" s="123"/>
      <c r="R57" s="91"/>
      <c r="S57" s="28"/>
      <c r="T57" s="79"/>
      <c r="U57" s="80"/>
      <c r="V57" s="80"/>
      <c r="W57" s="80"/>
      <c r="X57" s="81"/>
      <c r="Y57" s="82"/>
      <c r="Z57" s="82"/>
      <c r="AA57" s="82"/>
      <c r="AB57" s="82"/>
      <c r="AC57" s="82"/>
      <c r="AD57" s="64"/>
      <c r="AE57" s="65"/>
      <c r="AF57" s="65"/>
      <c r="AG57" s="65"/>
      <c r="AH57" s="66"/>
      <c r="AI57" s="28"/>
      <c r="BX57"/>
    </row>
    <row r="58" spans="1:76" ht="16.5">
      <c r="A58" s="15">
        <f>I25</f>
        <v>17.081863443783423</v>
      </c>
      <c r="B58" s="4">
        <v>-0.7697157603408762</v>
      </c>
      <c r="C58" s="11">
        <v>221.1340494294688</v>
      </c>
      <c r="D58" s="4">
        <v>-0.471884695094082</v>
      </c>
      <c r="E58" s="4">
        <f aca="true" t="shared" si="10" ref="E58:E77">SQRT(B58^2+D58^2)</f>
        <v>0.9028496647732489</v>
      </c>
      <c r="F58" s="84">
        <f aca="true" t="shared" si="11" ref="F58:F77">-B58*$E$29*(1-$E$33)/$E$30/$E$34</f>
        <v>1.4512670475434855</v>
      </c>
      <c r="G58" s="87">
        <f aca="true" t="shared" si="12" ref="G58:G77">C58*$E$29*(1-$E$33)/$E$30/$E$34</f>
        <v>416.9390514814401</v>
      </c>
      <c r="H58" s="89">
        <f aca="true" t="shared" si="13" ref="H58:H77">-D58*$E$29*(1-$E$33)/$E$30/$E$34</f>
        <v>0.8897189631752664</v>
      </c>
      <c r="I58" s="89">
        <f aca="true" t="shared" si="14" ref="I58:I77">E58*$E$29*(1-$E$33)/$E$30/$E$34</f>
        <v>1.70228548625642</v>
      </c>
      <c r="J58" s="57">
        <f>E58*E$29/E$30</f>
        <v>0.42565598203198757</v>
      </c>
      <c r="K58" s="11">
        <f>L$33*E$14/120*F58^2/E$8*E$7*E$10*(E$10-1)*E$5/E$6</f>
        <v>129.80980025814793</v>
      </c>
      <c r="L58" s="11">
        <f>L$34*E$14/6*F58^2/E$9*E$7*E$5/E$6*(1+(G58*E$5/F58)^2/15)</f>
        <v>5469.35584036712</v>
      </c>
      <c r="M58" s="15">
        <f>L$35*E$14/8*H58^2/E$9*E$7*E$6/E$5</f>
        <v>9.794481823963304</v>
      </c>
      <c r="N58" s="11">
        <f>E$14*E$15*(E$12/E$11)^2*J58*(1-E$33)/E$34^2*(E$20/2/PI())^2/E$19*LN((E$18+E$19*J58)/(E$18+E$19*E$33*J58))</f>
        <v>3413.0415493544624</v>
      </c>
      <c r="O58" s="11">
        <f aca="true" t="shared" si="15" ref="O58:O77">(Y58+Z58+AA58+AB58+AC58)/5</f>
        <v>10595.581155353062</v>
      </c>
      <c r="P58" s="11">
        <f aca="true" t="shared" si="16" ref="P58:P77">(AD58+AE58+AF58+AG58+AH58)/5</f>
        <v>7.138836426846335</v>
      </c>
      <c r="Q58" s="123">
        <f aca="true" t="shared" si="17" ref="Q58:Q77">SUM(K58:P58)</f>
        <v>19624.7216635836</v>
      </c>
      <c r="R58" s="91">
        <f>Q58*J$29*(A59-A58)</f>
        <v>0.14214297037991222</v>
      </c>
      <c r="S58" s="28"/>
      <c r="T58" s="79">
        <f>SQRT(($B58-$C58*0.8*$E$5)^2+$D58^2)*$E$29/$E$30</f>
        <v>0.8001996043651188</v>
      </c>
      <c r="U58" s="80">
        <f>SQRT(($B58-$C58*0.4*$E$5)^2+$D58^2)*$E$29/$E$30</f>
        <v>0.6079395028456639</v>
      </c>
      <c r="V58" s="80">
        <f>SQRT(($B58)^2+$D58^2)*$E$29/$E$30</f>
        <v>0.42565598203198757</v>
      </c>
      <c r="W58" s="80">
        <f>SQRT(($B58+$C58*0.4*$E$5)^2+$D58^2)*$E$29/$E$30</f>
        <v>0.27403856404572136</v>
      </c>
      <c r="X58" s="81">
        <f>SQRT(($B58+$C58*0.8*$E$5)^2+$D58^2)*$E$29/$E$30</f>
        <v>0.2265674243003804</v>
      </c>
      <c r="Y58" s="82">
        <f>$L$36*$E$14*$E$15*$E$17/$E$34*2/3*$E$21/PI()*($E$22*$E$23*LN((T58+$E$23)/($E$33*T58+$E$23))+$E$24*T58*(1-$E$33)+$E$25*T58^2/2*(1-$E$33^2))</f>
        <v>15256.860900732352</v>
      </c>
      <c r="Z58" s="82">
        <f>$L$36*$E$14*$E$15*$E$17/$E$34*2/3*$E$21/PI()*($E$22*$E$23*LN((U58+$E$23)/($E$33*U58+$E$23))+$E$24*U58*(1-$E$33)+$E$25*U58^2/2*(1-$E$33^2))</f>
        <v>12932.12145806853</v>
      </c>
      <c r="AA58" s="82">
        <f>$L$36*$E$14*$E$15*$E$17/$E$34*2/3*$E$21/PI()*($E$22*$E$23*LN((V58+$E$23)/($E$33*V58+$E$23))+$E$24*V58*(1-$E$33)+$E$25*V58^2/2*(1-$E$33^2))</f>
        <v>10340.047791396148</v>
      </c>
      <c r="AB58" s="82">
        <f>$L$36*$E$14*$E$15*$E$17/$E$34*2/3*$E$21/PI()*($E$22*$E$23*LN((W58+$E$23)/($E$33*W58+$E$23))+$E$24*W58*(1-$E$33)+$E$25*W58^2/2*(1-$E$33^2))</f>
        <v>7706.990134017237</v>
      </c>
      <c r="AC58" s="82">
        <f>$L$36*$E$14*$E$15*$E$17/$E$34*2/3*$E$21/PI()*($E$22*$E$23*LN((X58+$E$23)/($E$33*X58+$E$23))+$E$24*X58*(1-$E$33)+$E$25*X58^2/2*(1-$E$33^2))</f>
        <v>6741.885492551047</v>
      </c>
      <c r="AD58" s="72">
        <f>1/9/PI()*$E$21/$E$34*$E$28^2*T58*(3*T58+4*$E$27)/($E$26*$E$27*$E$14*$E$15*$E$17*16*$E$5^2*$E$6^2)</f>
        <v>14.579117429813927</v>
      </c>
      <c r="AE58" s="73">
        <f>1/9/PI()*$E$21/$E$34*$E$28^2*U58*(3*U58+4*$E$27)/($E$26*$E$27*$E$14*$E$15*$E$17*16*$E$5^2*$E$6^2)</f>
        <v>9.624512911388274</v>
      </c>
      <c r="AF58" s="73">
        <f>1/9/PI()*$E$21/$E$34*$E$28^2*V58*(3*V58+4*$E$27)/($E$26*$E$27*$E$14*$E$15*$E$17*16*$E$5^2*$E$6^2)</f>
        <v>5.7750009364189845</v>
      </c>
      <c r="AG58" s="73">
        <f>1/9/PI()*$E$21/$E$34*$E$28^2*W58*(3*W58+4*$E$27)/($E$26*$E$27*$E$14*$E$15*$E$17*16*$E$5^2*$E$6^2)</f>
        <v>3.201898946342727</v>
      </c>
      <c r="AH58" s="74">
        <f>1/9/PI()*$E$21/$E$34*$E$28^2*X58*(3*X58+4*$E$27)/($E$26*$E$27*$E$14*$E$15*$E$17*16*$E$5^2*$E$6^2)</f>
        <v>2.5136519102677624</v>
      </c>
      <c r="AI58" s="28"/>
      <c r="BX58"/>
    </row>
    <row r="59" spans="1:76" ht="16.5">
      <c r="A59" s="18">
        <v>18</v>
      </c>
      <c r="B59" s="4">
        <v>-0.7688376834784396</v>
      </c>
      <c r="C59" s="11">
        <v>227.4487999096361</v>
      </c>
      <c r="D59" s="4">
        <v>-0.4725847095030641</v>
      </c>
      <c r="E59" s="4">
        <f t="shared" si="10"/>
        <v>0.9024675568642835</v>
      </c>
      <c r="F59" s="84">
        <f t="shared" si="11"/>
        <v>1.4496114701455376</v>
      </c>
      <c r="G59" s="87">
        <f t="shared" si="12"/>
        <v>428.8452508312724</v>
      </c>
      <c r="H59" s="89">
        <f t="shared" si="13"/>
        <v>0.8910388112242545</v>
      </c>
      <c r="I59" s="89">
        <f t="shared" si="14"/>
        <v>1.7015650376889624</v>
      </c>
      <c r="J59" s="57">
        <f>E59*E$29/E$30</f>
        <v>0.4254758340809179</v>
      </c>
      <c r="K59" s="11">
        <f>L$33*E$14/120*F59^2/E$8*E$7*E$10*(E$10-1)*E$5/E$6</f>
        <v>129.51380016771904</v>
      </c>
      <c r="L59" s="11">
        <f>L$34*E$14/6*F59^2/E$9*E$7*E$5/E$6*(1+(G59*E$5/F59)^2/15)</f>
        <v>5494.828701998835</v>
      </c>
      <c r="M59" s="15">
        <f>L$35*E$14/8*H59^2/E$9*E$7*E$6/E$5</f>
        <v>9.823562503749482</v>
      </c>
      <c r="N59" s="11">
        <f>E$14*E$15*(E$12/E$11)^2*J59*(1-E$33)/E$34^2*(E$20/2/PI())^2/E$19*LN((E$18+E$19*J59)/(E$18+E$19*E$33*J59))</f>
        <v>3410.331164718648</v>
      </c>
      <c r="O59" s="11">
        <f t="shared" si="15"/>
        <v>10632.067528908847</v>
      </c>
      <c r="P59" s="11">
        <f t="shared" si="16"/>
        <v>7.22161118823545</v>
      </c>
      <c r="Q59" s="123">
        <f t="shared" si="17"/>
        <v>19683.786369486035</v>
      </c>
      <c r="R59" s="91">
        <f aca="true" t="shared" si="18" ref="R59:R76">Q59*J$29</f>
        <v>0.15528276096223217</v>
      </c>
      <c r="S59" s="28"/>
      <c r="T59" s="79">
        <f>SQRT(($B59-$C59*0.8*$E$5)^2+$D59^2)*$E$29/$E$30</f>
        <v>0.8110287102922564</v>
      </c>
      <c r="U59" s="80">
        <f>SQRT(($B59-$C59*0.4*$E$5)^2+$D59^2)*$E$29/$E$30</f>
        <v>0.6130689187680335</v>
      </c>
      <c r="V59" s="80">
        <f>SQRT(($B59)^2+$D59^2)*$E$29/$E$30</f>
        <v>0.4254758340809179</v>
      </c>
      <c r="W59" s="80">
        <f>SQRT(($B59+$C59*0.4*$E$5)^2+$D59^2)*$E$29/$E$30</f>
        <v>0.27073257580251076</v>
      </c>
      <c r="X59" s="81">
        <f>SQRT(($B59+$C59*0.8*$E$5)^2+$D59^2)*$E$29/$E$30</f>
        <v>0.22946203564170262</v>
      </c>
      <c r="Y59" s="82">
        <f>$L$36*$E$14*$E$15*$E$17/$E$34*2/3*$E$21/PI()*($E$22*$E$23*LN((T59+$E$23)/($E$33*T59+$E$23))+$E$24*T59*(1-$E$33)+$E$25*T59^2/2*(1-$E$33^2))</f>
        <v>15378.610483608716</v>
      </c>
      <c r="Z59" s="82">
        <f>$L$36*$E$14*$E$15*$E$17/$E$34*2/3*$E$21/PI()*($E$22*$E$23*LN((U59+$E$23)/($E$33*U59+$E$23))+$E$24*U59*(1-$E$33)+$E$25*U59^2/2*(1-$E$33^2))</f>
        <v>12998.761660032162</v>
      </c>
      <c r="AA59" s="82">
        <f>$L$36*$E$14*$E$15*$E$17/$E$34*2/3*$E$21/PI()*($E$22*$E$23*LN((V59+$E$23)/($E$33*V59+$E$23))+$E$24*V59*(1-$E$33)+$E$25*V59^2/2*(1-$E$33^2))</f>
        <v>10337.228678446252</v>
      </c>
      <c r="AB59" s="82">
        <f>$L$36*$E$14*$E$15*$E$17/$E$34*2/3*$E$21/PI()*($E$22*$E$23*LN((W59+$E$23)/($E$33*W59+$E$23))+$E$24*W59*(1-$E$33)+$E$25*W59^2/2*(1-$E$33^2))</f>
        <v>7642.463760547238</v>
      </c>
      <c r="AC59" s="82">
        <f>$L$36*$E$14*$E$15*$E$17/$E$34*2/3*$E$21/PI()*($E$22*$E$23*LN((X59+$E$23)/($E$33*X59+$E$23))+$E$24*X59*(1-$E$33)+$E$25*X59^2/2*(1-$E$33^2))</f>
        <v>6803.273061909864</v>
      </c>
      <c r="AD59" s="72">
        <f>1/9/PI()*$E$21/$E$34*$E$28^2*T59*(3*T59+4*$E$27)/($E$26*$E$27*$E$14*$E$15*$E$17*16*$E$5^2*$E$6^2)</f>
        <v>14.885503261943677</v>
      </c>
      <c r="AE59" s="73">
        <f>1/9/PI()*$E$21/$E$34*$E$28^2*U59*(3*U59+4*$E$27)/($E$26*$E$27*$E$14*$E$15*$E$17*16*$E$5^2*$E$6^2)</f>
        <v>9.744777436081971</v>
      </c>
      <c r="AF59" s="73">
        <f>1/9/PI()*$E$21/$E$34*$E$28^2*V59*(3*V59+4*$E$27)/($E$26*$E$27*$E$14*$E$15*$E$17*16*$E$5^2*$E$6^2)</f>
        <v>5.771604794576954</v>
      </c>
      <c r="AG59" s="73">
        <f>1/9/PI()*$E$21/$E$34*$E$28^2*W59*(3*W59+4*$E$27)/($E$26*$E$27*$E$14*$E$15*$E$17*16*$E$5^2*$E$6^2)</f>
        <v>3.1521544764680507</v>
      </c>
      <c r="AH59" s="74">
        <f>1/9/PI()*$E$21/$E$34*$E$28^2*X59*(3*X59+4*$E$27)/($E$26*$E$27*$E$14*$E$15*$E$17*16*$E$5^2*$E$6^2)</f>
        <v>2.554015972106589</v>
      </c>
      <c r="AI59" s="28"/>
      <c r="BX59"/>
    </row>
    <row r="60" spans="1:76" ht="16.5">
      <c r="A60" s="18">
        <v>19</v>
      </c>
      <c r="B60" s="4">
        <v>-0.7670354695833996</v>
      </c>
      <c r="C60" s="11">
        <v>231.74178888809186</v>
      </c>
      <c r="D60" s="4">
        <v>-0.5261554631417936</v>
      </c>
      <c r="E60" s="4">
        <f t="shared" si="10"/>
        <v>0.9301521289514859</v>
      </c>
      <c r="F60" s="84">
        <f t="shared" si="11"/>
        <v>1.4462134708148</v>
      </c>
      <c r="G60" s="87">
        <f t="shared" si="12"/>
        <v>436.9395029707129</v>
      </c>
      <c r="H60" s="89">
        <f t="shared" si="13"/>
        <v>0.9920442387778339</v>
      </c>
      <c r="I60" s="89">
        <f t="shared" si="14"/>
        <v>1.7537631467386017</v>
      </c>
      <c r="J60" s="57">
        <f>E60*E$29/E$30</f>
        <v>0.4385279558002886</v>
      </c>
      <c r="K60" s="11">
        <f>L$33*E$14/120*F60^2/E$8*E$7*E$10*(E$10-1)*E$5/E$6</f>
        <v>128.9073314473331</v>
      </c>
      <c r="L60" s="11">
        <f>L$34*E$14/6*F60^2/E$9*E$7*E$5/E$6*(1+(G60*E$5/F60)^2/15)</f>
        <v>5497.626238062168</v>
      </c>
      <c r="M60" s="15">
        <f>L$35*E$14/8*H60^2/E$9*E$7*E$6/E$5</f>
        <v>12.176931111834445</v>
      </c>
      <c r="N60" s="11">
        <f>E$14*E$15*(E$12/E$11)^2*J60*(1-E$33)/E$34^2*(E$20/2/PI())^2/E$19*LN((E$18+E$19*J60)/(E$18+E$19*E$33*J60))</f>
        <v>3609.143564275063</v>
      </c>
      <c r="O60" s="11">
        <f t="shared" si="15"/>
        <v>10917.524176609857</v>
      </c>
      <c r="P60" s="11">
        <f t="shared" si="16"/>
        <v>7.543290981707015</v>
      </c>
      <c r="Q60" s="123">
        <f t="shared" si="17"/>
        <v>20172.921532487962</v>
      </c>
      <c r="R60" s="91">
        <f t="shared" si="18"/>
        <v>0.1591414829158699</v>
      </c>
      <c r="S60" s="28"/>
      <c r="T60" s="79">
        <f>SQRT(($B60-$C60*0.8*$E$5)^2+$D60^2)*$E$29/$E$30</f>
        <v>0.8250271980648948</v>
      </c>
      <c r="U60" s="80">
        <f>SQRT(($B60-$C60*0.4*$E$5)^2+$D60^2)*$E$29/$E$30</f>
        <v>0.6255268933993499</v>
      </c>
      <c r="V60" s="80">
        <f>SQRT(($B60)^2+$D60^2)*$E$29/$E$30</f>
        <v>0.4385279558002886</v>
      </c>
      <c r="W60" s="80">
        <f>SQRT(($B60+$C60*0.4*$E$5)^2+$D60^2)*$E$29/$E$30</f>
        <v>0.28937605032971503</v>
      </c>
      <c r="X60" s="81">
        <f>SQRT(($B60+$C60*0.8*$E$5)^2+$D60^2)*$E$29/$E$30</f>
        <v>0.2560841381733343</v>
      </c>
      <c r="Y60" s="82">
        <f>$L$36*$E$14*$E$15*$E$17/$E$34*2/3*$E$21/PI()*($E$22*$E$23*LN((T60+$E$23)/($E$33*T60+$E$23))+$E$24*T60*(1-$E$33)+$E$25*T60^2/2*(1-$E$33^2))</f>
        <v>15534.740290993614</v>
      </c>
      <c r="Z60" s="82">
        <f>$L$36*$E$14*$E$15*$E$17/$E$34*2/3*$E$21/PI()*($E$22*$E$23*LN((U60+$E$23)/($E$33*U60+$E$23))+$E$24*U60*(1-$E$33)+$E$25*U60^2/2*(1-$E$33^2))</f>
        <v>13159.415492774287</v>
      </c>
      <c r="AA60" s="82">
        <f>$L$36*$E$14*$E$15*$E$17/$E$34*2/3*$E$21/PI()*($E$22*$E$23*LN((V60+$E$23)/($E$33*V60+$E$23))+$E$24*V60*(1-$E$33)+$E$25*V60^2/2*(1-$E$33^2))</f>
        <v>10539.928086381717</v>
      </c>
      <c r="AB60" s="82">
        <f>$L$36*$E$14*$E$15*$E$17/$E$34*2/3*$E$21/PI()*($E$22*$E$23*LN((W60+$E$23)/($E$33*W60+$E$23))+$E$24*W60*(1-$E$33)+$E$25*W60^2/2*(1-$E$33^2))</f>
        <v>8001.589375177932</v>
      </c>
      <c r="AC60" s="82">
        <f>$L$36*$E$14*$E$15*$E$17/$E$34*2/3*$E$21/PI()*($E$22*$E$23*LN((X60+$E$23)/($E$33*X60+$E$23))+$E$24*X60*(1-$E$33)+$E$25*X60^2/2*(1-$E$33^2))</f>
        <v>7351.947637721734</v>
      </c>
      <c r="AD60" s="72">
        <f>1/9/PI()*$E$21/$E$34*$E$28^2*T60*(3*T60+4*$E$27)/($E$26*$E$27*$E$14*$E$15*$E$17*16*$E$5^2*$E$6^2)</f>
        <v>15.285876573435917</v>
      </c>
      <c r="AE60" s="73">
        <f>1/9/PI()*$E$21/$E$34*$E$28^2*U60*(3*U60+4*$E$27)/($E$26*$E$27*$E$14*$E$15*$E$17*16*$E$5^2*$E$6^2)</f>
        <v>10.03958908248668</v>
      </c>
      <c r="AF60" s="73">
        <f>1/9/PI()*$E$21/$E$34*$E$28^2*V60*(3*V60+4*$E$27)/($E$26*$E$27*$E$14*$E$15*$E$17*16*$E$5^2*$E$6^2)</f>
        <v>6.019749603483363</v>
      </c>
      <c r="AG60" s="73">
        <f>1/9/PI()*$E$21/$E$34*$E$28^2*W60*(3*W60+4*$E$27)/($E$26*$E$27*$E$14*$E$15*$E$17*16*$E$5^2*$E$6^2)</f>
        <v>3.436230286415999</v>
      </c>
      <c r="AH60" s="74">
        <f>1/9/PI()*$E$21/$E$34*$E$28^2*X60*(3*X60+4*$E$27)/($E$26*$E$27*$E$14*$E$15*$E$17*16*$E$5^2*$E$6^2)</f>
        <v>2.9350093627131195</v>
      </c>
      <c r="AI60" s="28"/>
      <c r="BX60"/>
    </row>
    <row r="61" spans="1:76" ht="16.5">
      <c r="A61" s="18">
        <v>20</v>
      </c>
      <c r="B61" s="4">
        <v>-0.7645686420397677</v>
      </c>
      <c r="C61" s="11">
        <v>234.49299316708385</v>
      </c>
      <c r="D61" s="4">
        <v>-0.5768430116951416</v>
      </c>
      <c r="E61" s="4">
        <f t="shared" si="10"/>
        <v>0.9577646206307977</v>
      </c>
      <c r="F61" s="84">
        <f t="shared" si="11"/>
        <v>1.4415623700961917</v>
      </c>
      <c r="G61" s="87">
        <f t="shared" si="12"/>
        <v>442.12678419436025</v>
      </c>
      <c r="H61" s="89">
        <f t="shared" si="13"/>
        <v>1.0876135030782779</v>
      </c>
      <c r="I61" s="89">
        <f t="shared" si="14"/>
        <v>1.8058253511775586</v>
      </c>
      <c r="J61" s="57">
        <f>E61*E$29/E$30</f>
        <v>0.45154609461198036</v>
      </c>
      <c r="K61" s="11">
        <f>L$33*E$14/120*F61^2/E$8*E$7*E$10*(E$10-1)*E$5/E$6</f>
        <v>128.07951884049396</v>
      </c>
      <c r="L61" s="11">
        <f>L$34*E$14/6*F61^2/E$9*E$7*E$5/E$6*(1+(G61*E$5/F61)^2/15)</f>
        <v>5483.297868255135</v>
      </c>
      <c r="M61" s="15">
        <f>L$35*E$14/8*H61^2/E$9*E$7*E$6/E$5</f>
        <v>14.63608598348703</v>
      </c>
      <c r="N61" s="11">
        <f>E$14*E$15*(E$12/E$11)^2*J61*(1-E$33)/E$34^2*(E$20/2/PI())^2/E$19*LN((E$18+E$19*J61)/(E$18+E$19*E$33*J61))</f>
        <v>3812.331811840867</v>
      </c>
      <c r="O61" s="11">
        <f t="shared" si="15"/>
        <v>11178.301457045769</v>
      </c>
      <c r="P61" s="11">
        <f t="shared" si="16"/>
        <v>7.844761146681664</v>
      </c>
      <c r="Q61" s="123">
        <f t="shared" si="17"/>
        <v>20624.49150311243</v>
      </c>
      <c r="R61" s="91">
        <f t="shared" si="18"/>
        <v>0.16270385808546145</v>
      </c>
      <c r="S61" s="28"/>
      <c r="T61" s="79">
        <f>SQRT(($B61-$C61*0.8*$E$5)^2+$D61^2)*$E$29/$E$30</f>
        <v>0.8361973814206896</v>
      </c>
      <c r="U61" s="80">
        <f>SQRT(($B61-$C61*0.4*$E$5)^2+$D61^2)*$E$29/$E$30</f>
        <v>0.6366127928087137</v>
      </c>
      <c r="V61" s="80">
        <f>SQRT(($B61)^2+$D61^2)*$E$29/$E$30</f>
        <v>0.45154609461198036</v>
      </c>
      <c r="W61" s="80">
        <f>SQRT(($B61+$C61*0.4*$E$5)^2+$D61^2)*$E$29/$E$30</f>
        <v>0.3083506826158841</v>
      </c>
      <c r="X61" s="81">
        <f>SQRT(($B61+$C61*0.8*$E$5)^2+$D61^2)*$E$29/$E$30</f>
        <v>0.2807750909513892</v>
      </c>
      <c r="Y61" s="82">
        <f>$L$36*$E$14*$E$15*$E$17/$E$34*2/3*$E$21/PI()*($E$22*$E$23*LN((T61+$E$23)/($E$33*T61+$E$23))+$E$24*T61*(1-$E$33)+$E$25*T61^2/2*(1-$E$33^2))</f>
        <v>15658.333971214735</v>
      </c>
      <c r="Z61" s="82">
        <f>$L$36*$E$14*$E$15*$E$17/$E$34*2/3*$E$21/PI()*($E$22*$E$23*LN((U61+$E$23)/($E$33*U61+$E$23))+$E$24*U61*(1-$E$33)+$E$25*U61^2/2*(1-$E$33^2))</f>
        <v>13300.981593213999</v>
      </c>
      <c r="AA61" s="82">
        <f>$L$36*$E$14*$E$15*$E$17/$E$34*2/3*$E$21/PI()*($E$22*$E$23*LN((V61+$E$23)/($E$33*V61+$E$23))+$E$24*V61*(1-$E$33)+$E$25*V61^2/2*(1-$E$33^2))</f>
        <v>10739.05233175314</v>
      </c>
      <c r="AB61" s="82">
        <f>$L$36*$E$14*$E$15*$E$17/$E$34*2/3*$E$21/PI()*($E$22*$E$23*LN((W61+$E$23)/($E$33*W61+$E$23))+$E$24*W61*(1-$E$33)+$E$25*W61^2/2*(1-$E$33^2))</f>
        <v>8355.805973207687</v>
      </c>
      <c r="AC61" s="82">
        <f>$L$36*$E$14*$E$15*$E$17/$E$34*2/3*$E$21/PI()*($E$22*$E$23*LN((X61+$E$23)/($E$33*X61+$E$23))+$E$24*X61*(1-$E$33)+$E$25*X61^2/2*(1-$E$33^2))</f>
        <v>7837.333415839281</v>
      </c>
      <c r="AD61" s="72">
        <f>1/9/PI()*$E$21/$E$34*$E$28^2*T61*(3*T61+4*$E$27)/($E$26*$E$27*$E$14*$E$15*$E$17*16*$E$5^2*$E$6^2)</f>
        <v>15.608848941924167</v>
      </c>
      <c r="AE61" s="73">
        <f>1/9/PI()*$E$21/$E$34*$E$28^2*U61*(3*U61+4*$E$27)/($E$26*$E$27*$E$14*$E$15*$E$17*16*$E$5^2*$E$6^2)</f>
        <v>10.305173102658442</v>
      </c>
      <c r="AF61" s="73">
        <f>1/9/PI()*$E$21/$E$34*$E$28^2*V61*(3*V61+4*$E$27)/($E$26*$E$27*$E$14*$E$15*$E$17*16*$E$5^2*$E$6^2)</f>
        <v>6.271463714095537</v>
      </c>
      <c r="AG61" s="73">
        <f>1/9/PI()*$E$21/$E$34*$E$28^2*W61*(3*W61+4*$E$27)/($E$26*$E$27*$E$14*$E$15*$E$17*16*$E$5^2*$E$6^2)</f>
        <v>3.7342177321829624</v>
      </c>
      <c r="AH61" s="74">
        <f>1/9/PI()*$E$21/$E$34*$E$28^2*X61*(3*X61+4*$E$27)/($E$26*$E$27*$E$14*$E$15*$E$17*16*$E$5^2*$E$6^2)</f>
        <v>3.304102242547206</v>
      </c>
      <c r="AI61" s="28"/>
      <c r="BX61"/>
    </row>
    <row r="62" spans="1:76" ht="16.5">
      <c r="A62" s="18">
        <v>21</v>
      </c>
      <c r="B62" s="4">
        <v>-0.7616067160810989</v>
      </c>
      <c r="C62" s="11">
        <v>236.30574107714503</v>
      </c>
      <c r="D62" s="4">
        <v>-0.62632377474028</v>
      </c>
      <c r="E62" s="4">
        <f t="shared" si="10"/>
        <v>0.986066052952209</v>
      </c>
      <c r="F62" s="84">
        <f t="shared" si="11"/>
        <v>1.4359777819110986</v>
      </c>
      <c r="G62" s="87">
        <f t="shared" si="12"/>
        <v>445.5446449722272</v>
      </c>
      <c r="H62" s="89">
        <f t="shared" si="13"/>
        <v>1.180907423502767</v>
      </c>
      <c r="I62" s="89">
        <f t="shared" si="14"/>
        <v>1.859186524538692</v>
      </c>
      <c r="J62" s="57">
        <f>E62*E$29/E$30</f>
        <v>0.4648890402182211</v>
      </c>
      <c r="K62" s="11">
        <f>L$33*E$14/120*F62^2/E$8*E$7*E$10*(E$10-1)*E$5/E$6</f>
        <v>127.08908525551534</v>
      </c>
      <c r="L62" s="11">
        <f>L$34*E$14/6*F62^2/E$9*E$7*E$5/E$6*(1+(G62*E$5/F62)^2/15)</f>
        <v>5457.374856717143</v>
      </c>
      <c r="M62" s="15">
        <f>L$35*E$14/8*H62^2/E$9*E$7*E$6/E$5</f>
        <v>17.254702506539207</v>
      </c>
      <c r="N62" s="11">
        <f>E$14*E$15*(E$12/E$11)^2*J62*(1-E$33)/E$34^2*(E$20/2/PI())^2/E$19*LN((E$18+E$19*J62)/(E$18+E$19*E$33*J62))</f>
        <v>4025.609182012267</v>
      </c>
      <c r="O62" s="11">
        <f t="shared" si="15"/>
        <v>11426.502548855282</v>
      </c>
      <c r="P62" s="11">
        <f t="shared" si="16"/>
        <v>8.141612678098674</v>
      </c>
      <c r="Q62" s="123">
        <f t="shared" si="17"/>
        <v>21061.971988024845</v>
      </c>
      <c r="R62" s="91">
        <f t="shared" si="18"/>
        <v>0.1661550831845921</v>
      </c>
      <c r="S62" s="28"/>
      <c r="T62" s="79">
        <f>SQRT(($B62-$C62*0.8*$E$5)^2+$D62^2)*$E$29/$E$30</f>
        <v>0.8458808714299396</v>
      </c>
      <c r="U62" s="80">
        <f>SQRT(($B62-$C62*0.4*$E$5)^2+$D62^2)*$E$29/$E$30</f>
        <v>0.6471596783968957</v>
      </c>
      <c r="V62" s="80">
        <f>SQRT(($B62)^2+$D62^2)*$E$29/$E$30</f>
        <v>0.4648890402182211</v>
      </c>
      <c r="W62" s="80">
        <f>SQRT(($B62+$C62*0.4*$E$5)^2+$D62^2)*$E$29/$E$30</f>
        <v>0.32776967487522424</v>
      </c>
      <c r="X62" s="81">
        <f>SQRT(($B62+$C62*0.8*$E$5)^2+$D62^2)*$E$29/$E$30</f>
        <v>0.3045473189853223</v>
      </c>
      <c r="Y62" s="82">
        <f>$L$36*$E$14*$E$15*$E$17/$E$34*2/3*$E$21/PI()*($E$22*$E$23*LN((T62+$E$23)/($E$33*T62+$E$23))+$E$24*T62*(1-$E$33)+$E$25*T62^2/2*(1-$E$33^2))</f>
        <v>15764.780917543503</v>
      </c>
      <c r="Z62" s="82">
        <f>$L$36*$E$14*$E$15*$E$17/$E$34*2/3*$E$21/PI()*($E$22*$E$23*LN((U62+$E$23)/($E$33*U62+$E$23))+$E$24*U62*(1-$E$33)+$E$25*U62^2/2*(1-$E$33^2))</f>
        <v>13434.478453637192</v>
      </c>
      <c r="AA62" s="82">
        <f>$L$36*$E$14*$E$15*$E$17/$E$34*2/3*$E$21/PI()*($E$22*$E$23*LN((V62+$E$23)/($E$33*V62+$E$23))+$E$24*V62*(1-$E$33)+$E$25*V62^2/2*(1-$E$33^2))</f>
        <v>10940.117120222354</v>
      </c>
      <c r="AB62" s="82">
        <f>$L$36*$E$14*$E$15*$E$17/$E$34*2/3*$E$21/PI()*($E$22*$E$23*LN((W62+$E$23)/($E$33*W62+$E$23))+$E$24*W62*(1-$E$33)+$E$25*W62^2/2*(1-$E$33^2))</f>
        <v>8707.463188116926</v>
      </c>
      <c r="AC62" s="82">
        <f>$L$36*$E$14*$E$15*$E$17/$E$34*2/3*$E$21/PI()*($E$22*$E$23*LN((X62+$E$23)/($E$33*X62+$E$23))+$E$24*X62*(1-$E$33)+$E$25*X62^2/2*(1-$E$33^2))</f>
        <v>8285.673064756435</v>
      </c>
      <c r="AD62" s="72">
        <f>1/9/PI()*$E$21/$E$34*$E$28^2*T62*(3*T62+4*$E$27)/($E$26*$E$27*$E$14*$E$15*$E$17*16*$E$5^2*$E$6^2)</f>
        <v>15.8913435361875</v>
      </c>
      <c r="AE62" s="73">
        <f>1/9/PI()*$E$21/$E$34*$E$28^2*U62*(3*U62+4*$E$27)/($E$26*$E$27*$E$14*$E$15*$E$17*16*$E$5^2*$E$6^2)</f>
        <v>10.560677875398955</v>
      </c>
      <c r="AF62" s="73">
        <f>1/9/PI()*$E$21/$E$34*$E$28^2*V62*(3*V62+4*$E$27)/($E$26*$E$27*$E$14*$E$15*$E$17*16*$E$5^2*$E$6^2)</f>
        <v>6.533826925326434</v>
      </c>
      <c r="AG62" s="73">
        <f>1/9/PI()*$E$21/$E$34*$E$28^2*W62*(3*W62+4*$E$27)/($E$26*$E$27*$E$14*$E$15*$E$17*16*$E$5^2*$E$6^2)</f>
        <v>4.0484440035790605</v>
      </c>
      <c r="AH62" s="74">
        <f>1/9/PI()*$E$21/$E$34*$E$28^2*X62*(3*X62+4*$E$27)/($E$26*$E$27*$E$14*$E$15*$E$17*16*$E$5^2*$E$6^2)</f>
        <v>3.6737710500014127</v>
      </c>
      <c r="AI62" s="28"/>
      <c r="BX62"/>
    </row>
    <row r="63" spans="1:76" ht="16.5">
      <c r="A63" s="18">
        <v>22</v>
      </c>
      <c r="B63" s="4">
        <v>-0.7579205845403099</v>
      </c>
      <c r="C63" s="11">
        <v>237.4021344915991</v>
      </c>
      <c r="D63" s="4">
        <v>-0.6748782498644672</v>
      </c>
      <c r="E63" s="4">
        <f t="shared" si="10"/>
        <v>1.0148419899718633</v>
      </c>
      <c r="F63" s="84">
        <f t="shared" si="11"/>
        <v>1.4290277342263678</v>
      </c>
      <c r="G63" s="87">
        <f t="shared" si="12"/>
        <v>447.6118491474883</v>
      </c>
      <c r="H63" s="89">
        <f t="shared" si="13"/>
        <v>1.2724548665839586</v>
      </c>
      <c r="I63" s="89">
        <f t="shared" si="14"/>
        <v>1.9134423567699517</v>
      </c>
      <c r="J63" s="57">
        <f>E63*E$29/E$30</f>
        <v>0.4784556950101546</v>
      </c>
      <c r="K63" s="11">
        <f>L$33*E$14/120*F63^2/E$8*E$7*E$10*(E$10-1)*E$5/E$6</f>
        <v>125.86185498229267</v>
      </c>
      <c r="L63" s="11">
        <f>L$34*E$14/6*F63^2/E$9*E$7*E$5/E$6*(1+(G63*E$5/F63)^2/15)</f>
        <v>5418.318938929472</v>
      </c>
      <c r="M63" s="15">
        <f>L$35*E$14/8*H63^2/E$9*E$7*E$6/E$5</f>
        <v>20.03367133295093</v>
      </c>
      <c r="N63" s="11">
        <f>E$14*E$15*(E$12/E$11)^2*J63*(1-E$33)/E$34^2*(E$20/2/PI())^2/E$19*LN((E$18+E$19*J63)/(E$18+E$19*E$33*J63))</f>
        <v>4247.618571534095</v>
      </c>
      <c r="O63" s="11">
        <f t="shared" si="15"/>
        <v>11663.913712455103</v>
      </c>
      <c r="P63" s="11">
        <f t="shared" si="16"/>
        <v>8.4355934820334</v>
      </c>
      <c r="Q63" s="123">
        <f t="shared" si="17"/>
        <v>21484.182342715947</v>
      </c>
      <c r="R63" s="91">
        <f t="shared" si="18"/>
        <v>0.16948584426645957</v>
      </c>
      <c r="S63" s="28"/>
      <c r="T63" s="79">
        <f>SQRT(($B63-$C63*0.8*$E$5)^2+$D63^2)*$E$29/$E$30</f>
        <v>0.8543955876896727</v>
      </c>
      <c r="U63" s="80">
        <f>SQRT(($B63-$C63*0.4*$E$5)^2+$D63^2)*$E$29/$E$30</f>
        <v>0.6572793792586106</v>
      </c>
      <c r="V63" s="80">
        <f>SQRT(($B63)^2+$D63^2)*$E$29/$E$30</f>
        <v>0.4784556950101546</v>
      </c>
      <c r="W63" s="80">
        <f>SQRT(($B63+$C63*0.4*$E$5)^2+$D63^2)*$E$29/$E$30</f>
        <v>0.3474231272249711</v>
      </c>
      <c r="X63" s="81">
        <f>SQRT(($B63+$C63*0.8*$E$5)^2+$D63^2)*$E$29/$E$30</f>
        <v>0.32766616262282794</v>
      </c>
      <c r="Y63" s="82">
        <f>$L$36*$E$14*$E$15*$E$17/$E$34*2/3*$E$21/PI()*($E$22*$E$23*LN((T63+$E$23)/($E$33*T63+$E$23))+$E$24*T63*(1-$E$33)+$E$25*T63^2/2*(1-$E$33^2))</f>
        <v>15857.854378433954</v>
      </c>
      <c r="Z63" s="82">
        <f>$L$36*$E$14*$E$15*$E$17/$E$34*2/3*$E$21/PI()*($E$22*$E$23*LN((U63+$E$23)/($E$33*U63+$E$23))+$E$24*U63*(1-$E$33)+$E$25*U63^2/2*(1-$E$33^2))</f>
        <v>13561.507565815677</v>
      </c>
      <c r="AA63" s="82">
        <f>$L$36*$E$14*$E$15*$E$17/$E$34*2/3*$E$21/PI()*($E$22*$E$23*LN((V63+$E$23)/($E$33*V63+$E$23))+$E$24*V63*(1-$E$33)+$E$25*V63^2/2*(1-$E$33^2))</f>
        <v>11141.539036925205</v>
      </c>
      <c r="AB63" s="82">
        <f>$L$36*$E$14*$E$15*$E$17/$E$34*2/3*$E$21/PI()*($E$22*$E$23*LN((W63+$E$23)/($E$33*W63+$E$23))+$E$24*W63*(1-$E$33)+$E$25*W63^2/2*(1-$E$33^2))</f>
        <v>9053.051312402298</v>
      </c>
      <c r="AC63" s="82">
        <f>$L$36*$E$14*$E$15*$E$17/$E$34*2/3*$E$21/PI()*($E$22*$E$23*LN((X63+$E$23)/($E$33*X63+$E$23))+$E$24*X63*(1-$E$33)+$E$25*X63^2/2*(1-$E$33^2))</f>
        <v>8705.61626869838</v>
      </c>
      <c r="AD63" s="72">
        <f>1/9/PI()*$E$21/$E$34*$E$28^2*T63*(3*T63+4*$E$27)/($E$26*$E$27*$E$14*$E$15*$E$17*16*$E$5^2*$E$6^2)</f>
        <v>16.14166632125732</v>
      </c>
      <c r="AE63" s="73">
        <f>1/9/PI()*$E$21/$E$34*$E$28^2*U63*(3*U63+4*$E$27)/($E$26*$E$27*$E$14*$E$15*$E$17*16*$E$5^2*$E$6^2)</f>
        <v>10.808431475152554</v>
      </c>
      <c r="AF63" s="73">
        <f>1/9/PI()*$E$21/$E$34*$E$28^2*V63*(3*V63+4*$E$27)/($E$26*$E$27*$E$14*$E$15*$E$17*16*$E$5^2*$E$6^2)</f>
        <v>6.805123371762681</v>
      </c>
      <c r="AG63" s="73">
        <f>1/9/PI()*$E$21/$E$34*$E$28^2*W63*(3*W63+4*$E$27)/($E$26*$E$27*$E$14*$E$15*$E$17*16*$E$5^2*$E$6^2)</f>
        <v>4.376002044054992</v>
      </c>
      <c r="AH63" s="74">
        <f>1/9/PI()*$E$21/$E$34*$E$28^2*X63*(3*X63+4*$E$27)/($E$26*$E$27*$E$14*$E$15*$E$17*16*$E$5^2*$E$6^2)</f>
        <v>4.0467441979394545</v>
      </c>
      <c r="AI63" s="28"/>
      <c r="BX63"/>
    </row>
    <row r="64" spans="1:76" ht="16.5">
      <c r="A64" s="18">
        <v>23</v>
      </c>
      <c r="B64" s="4">
        <v>-0.7536309780371777</v>
      </c>
      <c r="C64" s="11">
        <v>237.89539745988625</v>
      </c>
      <c r="D64" s="4">
        <v>-0.7229495947682708</v>
      </c>
      <c r="E64" s="4">
        <f t="shared" si="10"/>
        <v>1.044325508466053</v>
      </c>
      <c r="F64" s="84">
        <f t="shared" si="11"/>
        <v>1.420939859603446</v>
      </c>
      <c r="G64" s="87">
        <f t="shared" si="12"/>
        <v>448.5418759554772</v>
      </c>
      <c r="H64" s="89">
        <f t="shared" si="13"/>
        <v>1.3630913877318327</v>
      </c>
      <c r="I64" s="89">
        <f t="shared" si="14"/>
        <v>1.969032304437526</v>
      </c>
      <c r="J64" s="57">
        <f>E64*E$29/E$30</f>
        <v>0.4923559449720954</v>
      </c>
      <c r="K64" s="11">
        <f>L$33*E$14/120*F64^2/E$8*E$7*E$10*(E$10-1)*E$5/E$6</f>
        <v>124.44120482044114</v>
      </c>
      <c r="L64" s="11">
        <f>L$34*E$14/6*F64^2/E$9*E$7*E$5/E$6*(1+(G64*E$5/F64)^2/15)</f>
        <v>5368.380527599131</v>
      </c>
      <c r="M64" s="15">
        <f>L$35*E$14/8*H64^2/E$9*E$7*E$6/E$5</f>
        <v>22.989298439793206</v>
      </c>
      <c r="N64" s="11">
        <f>E$14*E$15*(E$12/E$11)^2*J64*(1-E$33)/E$34^2*(E$20/2/PI())^2/E$19*LN((E$18+E$19*J64)/(E$18+E$19*E$33*J64))</f>
        <v>4480.423120535682</v>
      </c>
      <c r="O64" s="11">
        <f t="shared" si="15"/>
        <v>11893.845691855095</v>
      </c>
      <c r="P64" s="11">
        <f t="shared" si="16"/>
        <v>8.73088640525732</v>
      </c>
      <c r="Q64" s="123">
        <f t="shared" si="17"/>
        <v>21898.810729655397</v>
      </c>
      <c r="R64" s="91">
        <f t="shared" si="18"/>
        <v>0.172756792217667</v>
      </c>
      <c r="S64" s="28"/>
      <c r="T64" s="79">
        <f>SQRT(($B64-$C64*0.8*$E$5)^2+$D64^2)*$E$29/$E$30</f>
        <v>0.8620655060428509</v>
      </c>
      <c r="U64" s="80">
        <f>SQRT(($B64-$C64*0.4*$E$5)^2+$D64^2)*$E$29/$E$30</f>
        <v>0.6671946210050291</v>
      </c>
      <c r="V64" s="80">
        <f>SQRT(($B64)^2+$D64^2)*$E$29/$E$30</f>
        <v>0.4923559449720954</v>
      </c>
      <c r="W64" s="80">
        <f>SQRT(($B64+$C64*0.4*$E$5)^2+$D64^2)*$E$29/$E$30</f>
        <v>0.36736096616662844</v>
      </c>
      <c r="X64" s="81">
        <f>SQRT(($B64+$C64*0.8*$E$5)^2+$D64^2)*$E$29/$E$30</f>
        <v>0.35038232124150537</v>
      </c>
      <c r="Y64" s="82">
        <f>$L$36*$E$14*$E$15*$E$17/$E$34*2/3*$E$21/PI()*($E$22*$E$23*LN((T64+$E$23)/($E$33*T64+$E$23))+$E$24*T64*(1-$E$33)+$E$25*T64^2/2*(1-$E$33^2))</f>
        <v>15941.278745573214</v>
      </c>
      <c r="Z64" s="82">
        <f>$L$36*$E$14*$E$15*$E$17/$E$34*2/3*$E$21/PI()*($E$22*$E$23*LN((U64+$E$23)/($E$33*U64+$E$23))+$E$24*U64*(1-$E$33)+$E$25*U64^2/2*(1-$E$33^2))</f>
        <v>13684.98603322826</v>
      </c>
      <c r="AA64" s="82">
        <f>$L$36*$E$14*$E$15*$E$17/$E$34*2/3*$E$21/PI()*($E$22*$E$23*LN((V64+$E$23)/($E$33*V64+$E$23))+$E$24*V64*(1-$E$33)+$E$25*V64^2/2*(1-$E$33^2))</f>
        <v>11344.890437165159</v>
      </c>
      <c r="AB64" s="82">
        <f>$L$36*$E$14*$E$15*$E$17/$E$34*2/3*$E$21/PI()*($E$22*$E$23*LN((W64+$E$23)/($E$33*W64+$E$23))+$E$24*W64*(1-$E$33)+$E$25*W64^2/2*(1-$E$33^2))</f>
        <v>9393.83651356165</v>
      </c>
      <c r="AC64" s="82">
        <f>$L$36*$E$14*$E$15*$E$17/$E$34*2/3*$E$21/PI()*($E$22*$E$23*LN((X64+$E$23)/($E$33*X64+$E$23))+$E$24*X64*(1-$E$33)+$E$25*X64^2/2*(1-$E$33^2))</f>
        <v>9104.236729747196</v>
      </c>
      <c r="AD64" s="72">
        <f>1/9/PI()*$E$21/$E$34*$E$28^2*T64*(3*T64+4*$E$27)/($E$26*$E$27*$E$14*$E$15*$E$17*16*$E$5^2*$E$6^2)</f>
        <v>16.368694855755447</v>
      </c>
      <c r="AE64" s="73">
        <f>1/9/PI()*$E$21/$E$34*$E$28^2*U64*(3*U64+4*$E$27)/($E$26*$E$27*$E$14*$E$15*$E$17*16*$E$5^2*$E$6^2)</f>
        <v>11.053646811762913</v>
      </c>
      <c r="AF64" s="73">
        <f>1/9/PI()*$E$21/$E$34*$E$28^2*V64*(3*V64+4*$E$27)/($E$26*$E$27*$E$14*$E$15*$E$17*16*$E$5^2*$E$6^2)</f>
        <v>7.08783296412067</v>
      </c>
      <c r="AG64" s="73">
        <f>1/9/PI()*$E$21/$E$34*$E$28^2*W64*(3*W64+4*$E$27)/($E$26*$E$27*$E$14*$E$15*$E$17*16*$E$5^2*$E$6^2)</f>
        <v>4.718104248180766</v>
      </c>
      <c r="AH64" s="74">
        <f>1/9/PI()*$E$21/$E$34*$E$28^2*X64*(3*X64+4*$E$27)/($E$26*$E$27*$E$14*$E$15*$E$17*16*$E$5^2*$E$6^2)</f>
        <v>4.426153146466804</v>
      </c>
      <c r="AI64" s="28"/>
      <c r="BX64"/>
    </row>
    <row r="65" spans="1:76" ht="16.5">
      <c r="A65" s="18">
        <v>24</v>
      </c>
      <c r="B65" s="4">
        <v>-0.7488749448917655</v>
      </c>
      <c r="C65" s="11">
        <v>237.88242897712766</v>
      </c>
      <c r="D65" s="4">
        <v>-0.770882918956559</v>
      </c>
      <c r="E65" s="4">
        <f t="shared" si="10"/>
        <v>1.074743763799367</v>
      </c>
      <c r="F65" s="84">
        <f t="shared" si="11"/>
        <v>1.4119725569488861</v>
      </c>
      <c r="G65" s="87">
        <f t="shared" si="12"/>
        <v>448.5174244206979</v>
      </c>
      <c r="H65" s="89">
        <f t="shared" si="13"/>
        <v>1.4534676765619776</v>
      </c>
      <c r="I65" s="89">
        <f t="shared" si="14"/>
        <v>2.0263846595321557</v>
      </c>
      <c r="J65" s="57">
        <f>E65*E$29/E$30</f>
        <v>0.5066968843895713</v>
      </c>
      <c r="K65" s="11">
        <f>L$33*E$14/120*F65^2/E$8*E$7*E$10*(E$10-1)*E$5/E$6</f>
        <v>122.87550757026169</v>
      </c>
      <c r="L65" s="11">
        <f>L$34*E$14/6*F65^2/E$9*E$7*E$5/E$6*(1+(G65*E$5/F65)^2/15)</f>
        <v>5309.933915617324</v>
      </c>
      <c r="M65" s="15">
        <f>L$35*E$14/8*H65^2/E$9*E$7*E$6/E$5</f>
        <v>26.138853007704984</v>
      </c>
      <c r="N65" s="11">
        <f>E$14*E$15*(E$12/E$11)^2*J65*(1-E$33)/E$34^2*(E$20/2/PI())^2/E$19*LN((E$18+E$19*J65)/(E$18+E$19*E$33*J65))</f>
        <v>4726.208888409799</v>
      </c>
      <c r="O65" s="11">
        <f t="shared" si="15"/>
        <v>12119.071793410118</v>
      </c>
      <c r="P65" s="11">
        <f t="shared" si="16"/>
        <v>9.03154500953918</v>
      </c>
      <c r="Q65" s="123">
        <f t="shared" si="17"/>
        <v>22313.260503024747</v>
      </c>
      <c r="R65" s="91">
        <f t="shared" si="18"/>
        <v>0.1760263311102822</v>
      </c>
      <c r="S65" s="28"/>
      <c r="T65" s="79">
        <f>SQRT(($B65-$C65*0.8*$E$5)^2+$D65^2)*$E$29/$E$30</f>
        <v>0.8691887780029532</v>
      </c>
      <c r="U65" s="80">
        <f>SQRT(($B65-$C65*0.4*$E$5)^2+$D65^2)*$E$29/$E$30</f>
        <v>0.6771141938129004</v>
      </c>
      <c r="V65" s="80">
        <f>SQRT(($B65)^2+$D65^2)*$E$29/$E$30</f>
        <v>0.5066968843895713</v>
      </c>
      <c r="W65" s="80">
        <f>SQRT(($B65+$C65*0.4*$E$5)^2+$D65^2)*$E$29/$E$30</f>
        <v>0.3876382790281174</v>
      </c>
      <c r="X65" s="81">
        <f>SQRT(($B65+$C65*0.8*$E$5)^2+$D65^2)*$E$29/$E$30</f>
        <v>0.37289239683351055</v>
      </c>
      <c r="Y65" s="82">
        <f>$L$36*$E$14*$E$15*$E$17/$E$34*2/3*$E$21/PI()*($E$22*$E$23*LN((T65+$E$23)/($E$33*T65+$E$23))+$E$24*T65*(1-$E$33)+$E$25*T65^2/2*(1-$E$33^2))</f>
        <v>16018.410056286402</v>
      </c>
      <c r="Z65" s="82">
        <f>$L$36*$E$14*$E$15*$E$17/$E$34*2/3*$E$21/PI()*($E$22*$E$23*LN((U65+$E$23)/($E$33*U65+$E$23))+$E$24*U65*(1-$E$33)+$E$25*U65^2/2*(1-$E$33^2))</f>
        <v>13807.565505785993</v>
      </c>
      <c r="AA65" s="82">
        <f>$L$36*$E$14*$E$15*$E$17/$E$34*2/3*$E$21/PI()*($E$22*$E$23*LN((V65+$E$23)/($E$33*V65+$E$23))+$E$24*V65*(1-$E$33)+$E$25*V65^2/2*(1-$E$33^2))</f>
        <v>11551.612602386926</v>
      </c>
      <c r="AB65" s="82">
        <f>$L$36*$E$14*$E$15*$E$17/$E$34*2/3*$E$21/PI()*($E$22*$E$23*LN((W65+$E$23)/($E$33*W65+$E$23))+$E$24*W65*(1-$E$33)+$E$25*W65^2/2*(1-$E$33^2))</f>
        <v>9731.039795062521</v>
      </c>
      <c r="AC65" s="82">
        <f>$L$36*$E$14*$E$15*$E$17/$E$34*2/3*$E$21/PI()*($E$22*$E$23*LN((X65+$E$23)/($E$33*X65+$E$23))+$E$24*X65*(1-$E$33)+$E$25*X65^2/2*(1-$E$33^2))</f>
        <v>9486.731007528755</v>
      </c>
      <c r="AD65" s="72">
        <f>1/9/PI()*$E$21/$E$34*$E$28^2*T65*(3*T65+4*$E$27)/($E$26*$E$27*$E$14*$E$15*$E$17*16*$E$5^2*$E$6^2)</f>
        <v>16.580851563296644</v>
      </c>
      <c r="AE65" s="73">
        <f>1/9/PI()*$E$21/$E$34*$E$28^2*U65*(3*U65+4*$E$27)/($E$26*$E$27*$E$14*$E$15*$E$17*16*$E$5^2*$E$6^2)</f>
        <v>11.30141304830967</v>
      </c>
      <c r="AF65" s="73">
        <f>1/9/PI()*$E$21/$E$34*$E$28^2*V65*(3*V65+4*$E$27)/($E$26*$E$27*$E$14*$E$15*$E$17*16*$E$5^2*$E$6^2)</f>
        <v>7.384535903768396</v>
      </c>
      <c r="AG65" s="73">
        <f>1/9/PI()*$E$21/$E$34*$E$28^2*W65*(3*W65+4*$E$27)/($E$26*$E$27*$E$14*$E$15*$E$17*16*$E$5^2*$E$6^2)</f>
        <v>5.076159733494666</v>
      </c>
      <c r="AH65" s="74">
        <f>1/9/PI()*$E$21/$E$34*$E$28^2*X65*(3*X65+4*$E$27)/($E$26*$E$27*$E$14*$E$15*$E$17*16*$E$5^2*$E$6^2)</f>
        <v>4.814764798826521</v>
      </c>
      <c r="AI65" s="28"/>
      <c r="BX65"/>
    </row>
    <row r="66" spans="1:76" ht="16.5">
      <c r="A66" s="18">
        <v>25</v>
      </c>
      <c r="B66" s="4">
        <v>-0.7435059454395301</v>
      </c>
      <c r="C66" s="11">
        <v>237.38808390302393</v>
      </c>
      <c r="D66" s="4">
        <v>-0.8189315282179058</v>
      </c>
      <c r="E66" s="4">
        <f t="shared" si="10"/>
        <v>1.1060967131373476</v>
      </c>
      <c r="F66" s="84">
        <f t="shared" si="11"/>
        <v>1.401849531820938</v>
      </c>
      <c r="G66" s="87">
        <f t="shared" si="12"/>
        <v>447.5853573472051</v>
      </c>
      <c r="H66" s="89">
        <f t="shared" si="13"/>
        <v>1.5440613306017548</v>
      </c>
      <c r="I66" s="89">
        <f t="shared" si="14"/>
        <v>2.0854993412912513</v>
      </c>
      <c r="J66" s="57">
        <f>E66*E$29/E$30</f>
        <v>0.5214784930679208</v>
      </c>
      <c r="K66" s="11">
        <f>L$33*E$14/120*F66^2/E$8*E$7*E$10*(E$10-1)*E$5/E$6</f>
        <v>121.1199310551064</v>
      </c>
      <c r="L66" s="11">
        <f>L$34*E$14/6*F66^2/E$9*E$7*E$5/E$6*(1+(G66*E$5/F66)^2/15)</f>
        <v>5241.460402643619</v>
      </c>
      <c r="M66" s="15">
        <f>L$35*E$14/8*H66^2/E$9*E$7*E$6/E$5</f>
        <v>29.49883493932171</v>
      </c>
      <c r="N66" s="11">
        <f>E$14*E$15*(E$12/E$11)^2*J66*(1-E$33)/E$34^2*(E$20/2/PI())^2/E$19*LN((E$18+E$19*J66)/(E$18+E$19*E$33*J66))</f>
        <v>4985.435510011754</v>
      </c>
      <c r="O66" s="11">
        <f t="shared" si="15"/>
        <v>12340.624925291038</v>
      </c>
      <c r="P66" s="11">
        <f t="shared" si="16"/>
        <v>9.3386995066039</v>
      </c>
      <c r="Q66" s="123">
        <f t="shared" si="17"/>
        <v>22727.478303447442</v>
      </c>
      <c r="R66" s="91">
        <f t="shared" si="18"/>
        <v>0.1792940399993123</v>
      </c>
      <c r="S66" s="28"/>
      <c r="T66" s="79">
        <f>SQRT(($B66-$C66*0.8*$E$5)^2+$D66^2)*$E$29/$E$30</f>
        <v>0.8758141848584615</v>
      </c>
      <c r="U66" s="80">
        <f>SQRT(($B66-$C66*0.4*$E$5)^2+$D66^2)*$E$29/$E$30</f>
        <v>0.6870670375092747</v>
      </c>
      <c r="V66" s="80">
        <f>SQRT(($B66)^2+$D66^2)*$E$29/$E$30</f>
        <v>0.5214784930679208</v>
      </c>
      <c r="W66" s="80">
        <f>SQRT(($B66+$C66*0.4*$E$5)^2+$D66^2)*$E$29/$E$30</f>
        <v>0.40827270359546103</v>
      </c>
      <c r="X66" s="81">
        <f>SQRT(($B66+$C66*0.8*$E$5)^2+$D66^2)*$E$29/$E$30</f>
        <v>0.39534979364866707</v>
      </c>
      <c r="Y66" s="82">
        <f>$L$36*$E$14*$E$15*$E$17/$E$34*2/3*$E$21/PI()*($E$22*$E$23*LN((T66+$E$23)/($E$33*T66+$E$23))+$E$24*T66*(1-$E$33)+$E$25*T66^2/2*(1-$E$33^2))</f>
        <v>16089.853938253118</v>
      </c>
      <c r="Z66" s="82">
        <f>$L$36*$E$14*$E$15*$E$17/$E$34*2/3*$E$21/PI()*($E$22*$E$23*LN((U66+$E$23)/($E$33*U66+$E$23))+$E$24*U66*(1-$E$33)+$E$25*U66^2/2*(1-$E$33^2))</f>
        <v>13929.619189084733</v>
      </c>
      <c r="AA66" s="82">
        <f>$L$36*$E$14*$E$15*$E$17/$E$34*2/3*$E$21/PI()*($E$22*$E$23*LN((V66+$E$23)/($E$33*V66+$E$23))+$E$24*V66*(1-$E$33)+$E$25*V66^2/2*(1-$E$33^2))</f>
        <v>11761.551246149877</v>
      </c>
      <c r="AB66" s="82">
        <f>$L$36*$E$14*$E$15*$E$17/$E$34*2/3*$E$21/PI()*($E$22*$E$23*LN((W66+$E$23)/($E$33*W66+$E$23))+$E$24*W66*(1-$E$33)+$E$25*W66^2/2*(1-$E$33^2))</f>
        <v>10065.162423196281</v>
      </c>
      <c r="AC66" s="82">
        <f>$L$36*$E$14*$E$15*$E$17/$E$34*2/3*$E$21/PI()*($E$22*$E$23*LN((X66+$E$23)/($E$33*X66+$E$23))+$E$24*X66*(1-$E$33)+$E$25*X66^2/2*(1-$E$33^2))</f>
        <v>9856.937829771186</v>
      </c>
      <c r="AD66" s="72">
        <f>1/9/PI()*$E$21/$E$34*$E$28^2*T66*(3*T66+4*$E$27)/($E$26*$E$27*$E$14*$E$15*$E$17*16*$E$5^2*$E$6^2)</f>
        <v>16.779311453256987</v>
      </c>
      <c r="AE66" s="73">
        <f>1/9/PI()*$E$21/$E$34*$E$28^2*U66*(3*U66+4*$E$27)/($E$26*$E$27*$E$14*$E$15*$E$17*16*$E$5^2*$E$6^2)</f>
        <v>11.552466941619636</v>
      </c>
      <c r="AF66" s="73">
        <f>1/9/PI()*$E$21/$E$34*$E$28^2*V66*(3*V66+4*$E$27)/($E$26*$E$27*$E$14*$E$15*$E$17*16*$E$5^2*$E$6^2)</f>
        <v>7.695702743426343</v>
      </c>
      <c r="AG66" s="73">
        <f>1/9/PI()*$E$21/$E$34*$E$28^2*W66*(3*W66+4*$E$27)/($E$26*$E$27*$E$14*$E$15*$E$17*16*$E$5^2*$E$6^2)</f>
        <v>5.451006417878513</v>
      </c>
      <c r="AH66" s="74">
        <f>1/9/PI()*$E$21/$E$34*$E$28^2*X66*(3*X66+4*$E$27)/($E$26*$E$27*$E$14*$E$15*$E$17*16*$E$5^2*$E$6^2)</f>
        <v>5.215009976838027</v>
      </c>
      <c r="AI66" s="28"/>
      <c r="BX66"/>
    </row>
    <row r="67" spans="1:76" ht="16.5">
      <c r="A67" s="18">
        <v>26</v>
      </c>
      <c r="B67" s="4">
        <v>-0.7379026729240881</v>
      </c>
      <c r="C67" s="11">
        <v>236.44602626135057</v>
      </c>
      <c r="D67" s="4">
        <v>-0.8674766866019769</v>
      </c>
      <c r="E67" s="4">
        <f t="shared" si="10"/>
        <v>1.1388661714646098</v>
      </c>
      <c r="F67" s="84">
        <f t="shared" si="11"/>
        <v>1.3912847945775877</v>
      </c>
      <c r="G67" s="87">
        <f t="shared" si="12"/>
        <v>445.80914685147405</v>
      </c>
      <c r="H67" s="89">
        <f t="shared" si="13"/>
        <v>1.6355912073570147</v>
      </c>
      <c r="I67" s="89">
        <f t="shared" si="14"/>
        <v>2.1472847918258022</v>
      </c>
      <c r="J67" s="57">
        <f>E67*E$29/E$30</f>
        <v>0.5369279266881353</v>
      </c>
      <c r="K67" s="11">
        <f>L$33*E$14/120*F67^2/E$8*E$7*E$10*(E$10-1)*E$5/E$6</f>
        <v>119.3012215550014</v>
      </c>
      <c r="L67" s="11">
        <f>L$34*E$14/6*F67^2/E$9*E$7*E$5/E$6*(1+(G67*E$5/F67)^2/15)</f>
        <v>5167.908474490346</v>
      </c>
      <c r="M67" s="15">
        <f>L$35*E$14/8*H67^2/E$9*E$7*E$6/E$5</f>
        <v>33.09979506513751</v>
      </c>
      <c r="N67" s="11">
        <f>E$14*E$15*(E$12/E$11)^2*J67*(1-E$33)/E$34^2*(E$20/2/PI())^2/E$19*LN((E$18+E$19*J67)/(E$18+E$19*E$33*J67))</f>
        <v>5262.691565044473</v>
      </c>
      <c r="O67" s="11">
        <f t="shared" si="15"/>
        <v>12561.793856805923</v>
      </c>
      <c r="P67" s="11">
        <f t="shared" si="16"/>
        <v>9.658171725421578</v>
      </c>
      <c r="Q67" s="123">
        <f t="shared" si="17"/>
        <v>23154.453084686305</v>
      </c>
      <c r="R67" s="91">
        <f t="shared" si="18"/>
        <v>0.18266238700569912</v>
      </c>
      <c r="S67" s="28"/>
      <c r="T67" s="79">
        <f>SQRT(($B67-$C67*0.8*$E$5)^2+$D67^2)*$E$29/$E$30</f>
        <v>0.882267097949111</v>
      </c>
      <c r="U67" s="80">
        <f>SQRT(($B67-$C67*0.4*$E$5)^2+$D67^2)*$E$29/$E$30</f>
        <v>0.6973414564813116</v>
      </c>
      <c r="V67" s="80">
        <f>SQRT(($B67)^2+$D67^2)*$E$29/$E$30</f>
        <v>0.5369279266881353</v>
      </c>
      <c r="W67" s="80">
        <f>SQRT(($B67+$C67*0.4*$E$5)^2+$D67^2)*$E$29/$E$30</f>
        <v>0.42943533472919243</v>
      </c>
      <c r="X67" s="81">
        <f>SQRT(($B67+$C67*0.8*$E$5)^2+$D67^2)*$E$29/$E$30</f>
        <v>0.417916776041043</v>
      </c>
      <c r="Y67" s="82">
        <f>$L$36*$E$14*$E$15*$E$17/$E$34*2/3*$E$21/PI()*($E$22*$E$23*LN((T67+$E$23)/($E$33*T67+$E$23))+$E$24*T67*(1-$E$33)+$E$25*T67^2/2*(1-$E$33^2))</f>
        <v>16159.166215917385</v>
      </c>
      <c r="Z67" s="82">
        <f>$L$36*$E$14*$E$15*$E$17/$E$34*2/3*$E$21/PI()*($E$22*$E$23*LN((U67+$E$23)/($E$33*U67+$E$23))+$E$24*U67*(1-$E$33)+$E$25*U67^2/2*(1-$E$33^2))</f>
        <v>14054.65348770283</v>
      </c>
      <c r="AA67" s="82">
        <f>$L$36*$E$14*$E$15*$E$17/$E$34*2/3*$E$21/PI()*($E$22*$E$23*LN((V67+$E$23)/($E$33*V67+$E$23))+$E$24*V67*(1-$E$33)+$E$25*V67^2/2*(1-$E$33^2))</f>
        <v>11977.713593925917</v>
      </c>
      <c r="AB67" s="82">
        <f>$L$36*$E$14*$E$15*$E$17/$E$34*2/3*$E$21/PI()*($E$22*$E$23*LN((W67+$E$23)/($E$33*W67+$E$23))+$E$24*W67*(1-$E$33)+$E$25*W67^2/2*(1-$E$33^2))</f>
        <v>10399.05082401404</v>
      </c>
      <c r="AC67" s="82">
        <f>$L$36*$E$14*$E$15*$E$17/$E$34*2/3*$E$21/PI()*($E$22*$E$23*LN((X67+$E$23)/($E$33*X67+$E$23))+$E$24*X67*(1-$E$33)+$E$25*X67^2/2*(1-$E$33^2))</f>
        <v>10218.385162469447</v>
      </c>
      <c r="AD67" s="72">
        <f>1/9/PI()*$E$21/$E$34*$E$28^2*T67*(3*T67+4*$E$27)/($E$26*$E$27*$E$14*$E$15*$E$17*16*$E$5^2*$E$6^2)</f>
        <v>16.973652615595512</v>
      </c>
      <c r="AE67" s="73">
        <f>1/9/PI()*$E$21/$E$34*$E$28^2*U67*(3*U67+4*$E$27)/($E$26*$E$27*$E$14*$E$15*$E$17*16*$E$5^2*$E$6^2)</f>
        <v>11.814213648167984</v>
      </c>
      <c r="AF67" s="73">
        <f>1/9/PI()*$E$21/$E$34*$E$28^2*V67*(3*V67+4*$E$27)/($E$26*$E$27*$E$14*$E$15*$E$17*16*$E$5^2*$E$6^2)</f>
        <v>8.026728999005908</v>
      </c>
      <c r="AG67" s="73">
        <f>1/9/PI()*$E$21/$E$34*$E$28^2*W67*(3*W67+4*$E$27)/($E$26*$E$27*$E$14*$E$15*$E$17*16*$E$5^2*$E$6^2)</f>
        <v>5.846435005771965</v>
      </c>
      <c r="AH67" s="74">
        <f>1/9/PI()*$E$21/$E$34*$E$28^2*X67*(3*X67+4*$E$27)/($E$26*$E$27*$E$14*$E$15*$E$17*16*$E$5^2*$E$6^2)</f>
        <v>5.629828358566523</v>
      </c>
      <c r="AI67" s="28"/>
      <c r="BX67"/>
    </row>
    <row r="68" spans="1:76" ht="16.5">
      <c r="A68" s="18">
        <v>27</v>
      </c>
      <c r="B68" s="4">
        <v>-0.7316515309435765</v>
      </c>
      <c r="C68" s="11">
        <v>235.02302523518713</v>
      </c>
      <c r="D68" s="4">
        <v>-0.9167679179694548</v>
      </c>
      <c r="E68" s="4">
        <f t="shared" si="10"/>
        <v>1.17293536827488</v>
      </c>
      <c r="F68" s="84">
        <f t="shared" si="11"/>
        <v>1.3794985264078745</v>
      </c>
      <c r="G68" s="87">
        <f t="shared" si="12"/>
        <v>443.1261376105343</v>
      </c>
      <c r="H68" s="89">
        <f t="shared" si="13"/>
        <v>1.7285277736873998</v>
      </c>
      <c r="I68" s="89">
        <f t="shared" si="14"/>
        <v>2.2115208452036383</v>
      </c>
      <c r="J68" s="57">
        <f>E68*E$29/E$30</f>
        <v>0.5529901328240356</v>
      </c>
      <c r="K68" s="11">
        <f>L$33*E$14/120*F68^2/E$8*E$7*E$10*(E$10-1)*E$5/E$6</f>
        <v>117.28846293144022</v>
      </c>
      <c r="L68" s="11">
        <f>L$34*E$14/6*F68^2/E$9*E$7*E$5/E$6*(1+(G68*E$5/F68)^2/15)</f>
        <v>5084.229044537738</v>
      </c>
      <c r="M68" s="15">
        <f>L$35*E$14/8*H68^2/E$9*E$7*E$6/E$5</f>
        <v>36.96821614059953</v>
      </c>
      <c r="N68" s="11">
        <f>E$14*E$15*(E$12/E$11)^2*J68*(1-E$33)/E$34^2*(E$20/2/PI())^2/E$19*LN((E$18+E$19*J68)/(E$18+E$19*E$33*J68))</f>
        <v>5557.712818347495</v>
      </c>
      <c r="O68" s="11">
        <f t="shared" si="15"/>
        <v>12782.541848895606</v>
      </c>
      <c r="P68" s="11">
        <f t="shared" si="16"/>
        <v>9.98954133630607</v>
      </c>
      <c r="Q68" s="123">
        <f t="shared" si="17"/>
        <v>23588.729932189184</v>
      </c>
      <c r="R68" s="91">
        <f t="shared" si="18"/>
        <v>0.1860883390373042</v>
      </c>
      <c r="S68" s="28"/>
      <c r="T68" s="79">
        <f>SQRT(($B68-$C68*0.8*$E$5)^2+$D68^2)*$E$29/$E$30</f>
        <v>0.8884166845241732</v>
      </c>
      <c r="U68" s="80">
        <f>SQRT(($B68-$C68*0.4*$E$5)^2+$D68^2)*$E$29/$E$30</f>
        <v>0.7078471265498911</v>
      </c>
      <c r="V68" s="80">
        <f>SQRT(($B68)^2+$D68^2)*$E$29/$E$30</f>
        <v>0.5529901328240356</v>
      </c>
      <c r="W68" s="80">
        <f>SQRT(($B68+$C68*0.4*$E$5)^2+$D68^2)*$E$29/$E$30</f>
        <v>0.4511494238590417</v>
      </c>
      <c r="X68" s="81">
        <f>SQRT(($B68+$C68*0.8*$E$5)^2+$D68^2)*$E$29/$E$30</f>
        <v>0.4407501576945147</v>
      </c>
      <c r="Y68" s="82">
        <f>$L$36*$E$14*$E$15*$E$17/$E$34*2/3*$E$21/PI()*($E$22*$E$23*LN((T68+$E$23)/($E$33*T68+$E$23))+$E$24*T68*(1-$E$33)+$E$25*T68^2/2*(1-$E$33^2))</f>
        <v>16224.973730884187</v>
      </c>
      <c r="Z68" s="82">
        <f>$L$36*$E$14*$E$15*$E$17/$E$34*2/3*$E$21/PI()*($E$22*$E$23*LN((U68+$E$23)/($E$33*U68+$E$23))+$E$24*U68*(1-$E$33)+$E$25*U68^2/2*(1-$E$33^2))</f>
        <v>14181.51272935581</v>
      </c>
      <c r="AA68" s="82">
        <f>$L$36*$E$14*$E$15*$E$17/$E$34*2/3*$E$21/PI()*($E$22*$E$23*LN((V68+$E$23)/($E$33*V68+$E$23))+$E$24*V68*(1-$E$33)+$E$25*V68^2/2*(1-$E$33^2))</f>
        <v>12199.06362916545</v>
      </c>
      <c r="AB68" s="82">
        <f>$L$36*$E$14*$E$15*$E$17/$E$34*2/3*$E$21/PI()*($E$22*$E$23*LN((W68+$E$23)/($E$33*W68+$E$23))+$E$24*W68*(1-$E$33)+$E$25*W68^2/2*(1-$E$33^2))</f>
        <v>10733.028615618006</v>
      </c>
      <c r="AC68" s="82">
        <f>$L$36*$E$14*$E$15*$E$17/$E$34*2/3*$E$21/PI()*($E$22*$E$23*LN((X68+$E$23)/($E$33*X68+$E$23))+$E$24*X68*(1-$E$33)+$E$25*X68^2/2*(1-$E$33^2))</f>
        <v>10574.130539454567</v>
      </c>
      <c r="AD68" s="72">
        <f>1/9/PI()*$E$21/$E$34*$E$28^2*T68*(3*T68+4*$E$27)/($E$26*$E$27*$E$14*$E$15*$E$17*16*$E$5^2*$E$6^2)</f>
        <v>17.15982114875444</v>
      </c>
      <c r="AE68" s="73">
        <f>1/9/PI()*$E$21/$E$34*$E$28^2*U68*(3*U68+4*$E$27)/($E$26*$E$27*$E$14*$E$15*$E$17*16*$E$5^2*$E$6^2)</f>
        <v>12.084563133367906</v>
      </c>
      <c r="AF68" s="73">
        <f>1/9/PI()*$E$21/$E$34*$E$28^2*V68*(3*V68+4*$E$27)/($E$26*$E$27*$E$14*$E$15*$E$17*16*$E$5^2*$E$6^2)</f>
        <v>8.377171423680034</v>
      </c>
      <c r="AG68" s="73">
        <f>1/9/PI()*$E$21/$E$34*$E$28^2*W68*(3*W68+4*$E$27)/($E$26*$E$27*$E$14*$E$15*$E$17*16*$E$5^2*$E$6^2)</f>
        <v>6.263731644694288</v>
      </c>
      <c r="AH68" s="74">
        <f>1/9/PI()*$E$21/$E$34*$E$28^2*X68*(3*X68+4*$E$27)/($E$26*$E$27*$E$14*$E$15*$E$17*16*$E$5^2*$E$6^2)</f>
        <v>6.062419331033681</v>
      </c>
      <c r="AI68" s="28"/>
      <c r="BX68"/>
    </row>
    <row r="69" spans="1:76" ht="16.5">
      <c r="A69" s="18">
        <v>28</v>
      </c>
      <c r="B69" s="4">
        <v>-0.725054795017682</v>
      </c>
      <c r="C69" s="11">
        <v>233.10995497958777</v>
      </c>
      <c r="D69" s="4">
        <v>-0.9671283960386144</v>
      </c>
      <c r="E69" s="4">
        <f t="shared" si="10"/>
        <v>1.208735616337318</v>
      </c>
      <c r="F69" s="84">
        <f t="shared" si="11"/>
        <v>1.3670606552301332</v>
      </c>
      <c r="G69" s="87">
        <f t="shared" si="12"/>
        <v>439.51912322335653</v>
      </c>
      <c r="H69" s="89">
        <f t="shared" si="13"/>
        <v>1.8234803601953606</v>
      </c>
      <c r="I69" s="89">
        <f t="shared" si="14"/>
        <v>2.279020723709296</v>
      </c>
      <c r="J69" s="57">
        <f>E69*E$29/E$30</f>
        <v>0.5698684574671898</v>
      </c>
      <c r="K69" s="11">
        <f>L$33*E$14/120*F69^2/E$8*E$7*E$10*(E$10-1)*E$5/E$6</f>
        <v>115.18299888860994</v>
      </c>
      <c r="L69" s="11">
        <f>L$34*E$14/6*F69^2/E$9*E$7*E$5/E$6*(1+(G69*E$5/F69)^2/15)</f>
        <v>4994.198157042324</v>
      </c>
      <c r="M69" s="15">
        <f>L$35*E$14/8*H69^2/E$9*E$7*E$6/E$5</f>
        <v>41.141294325307214</v>
      </c>
      <c r="N69" s="11">
        <f>E$14*E$15*(E$12/E$11)^2*J69*(1-E$33)/E$34^2*(E$20/2/PI())^2/E$19*LN((E$18+E$19*J69)/(E$18+E$19*E$33*J69))</f>
        <v>5875.070967031217</v>
      </c>
      <c r="O69" s="11">
        <f t="shared" si="15"/>
        <v>13005.394485377135</v>
      </c>
      <c r="P69" s="11">
        <f t="shared" si="16"/>
        <v>10.33803490693502</v>
      </c>
      <c r="Q69" s="123">
        <f t="shared" si="17"/>
        <v>24041.325937571528</v>
      </c>
      <c r="R69" s="91">
        <f t="shared" si="18"/>
        <v>0.18965880845802485</v>
      </c>
      <c r="S69" s="28"/>
      <c r="T69" s="79">
        <f>SQRT(($B69-$C69*0.8*$E$5)^2+$D69^2)*$E$29/$E$30</f>
        <v>0.8945046347294139</v>
      </c>
      <c r="U69" s="80">
        <f>SQRT(($B69-$C69*0.4*$E$5)^2+$D69^2)*$E$29/$E$30</f>
        <v>0.7188216307714446</v>
      </c>
      <c r="V69" s="80">
        <f>SQRT(($B69)^2+$D69^2)*$E$29/$E$30</f>
        <v>0.5698684574671898</v>
      </c>
      <c r="W69" s="80">
        <f>SQRT(($B69+$C69*0.4*$E$5)^2+$D69^2)*$E$29/$E$30</f>
        <v>0.4735769287093157</v>
      </c>
      <c r="X69" s="81">
        <f>SQRT(($B69+$C69*0.8*$E$5)^2+$D69^2)*$E$29/$E$30</f>
        <v>0.46398241629835574</v>
      </c>
      <c r="Y69" s="82">
        <f>$L$36*$E$14*$E$15*$E$17/$E$34*2/3*$E$21/PI()*($E$22*$E$23*LN((T69+$E$23)/($E$33*T69+$E$23))+$E$24*T69*(1-$E$33)+$E$25*T69^2/2*(1-$E$33^2))</f>
        <v>16289.887035780743</v>
      </c>
      <c r="Z69" s="82">
        <f>$L$36*$E$14*$E$15*$E$17/$E$34*2/3*$E$21/PI()*($E$22*$E$23*LN((U69+$E$23)/($E$33*U69+$E$23))+$E$24*U69*(1-$E$33)+$E$25*U69^2/2*(1-$E$33^2))</f>
        <v>14312.988985443752</v>
      </c>
      <c r="AA69" s="82">
        <f>$L$36*$E$14*$E$15*$E$17/$E$34*2/3*$E$21/PI()*($E$22*$E$23*LN((V69+$E$23)/($E$33*V69+$E$23))+$E$24*V69*(1-$E$33)+$E$25*V69^2/2*(1-$E$33^2))</f>
        <v>12428.099888694744</v>
      </c>
      <c r="AB69" s="82">
        <f>$L$36*$E$14*$E$15*$E$17/$E$34*2/3*$E$21/PI()*($E$22*$E$23*LN((W69+$E$23)/($E$33*W69+$E$23))+$E$24*W69*(1-$E$33)+$E$25*W69^2/2*(1-$E$33^2))</f>
        <v>11069.446830563475</v>
      </c>
      <c r="AC69" s="82">
        <f>$L$36*$E$14*$E$15*$E$17/$E$34*2/3*$E$21/PI()*($E$22*$E$23*LN((X69+$E$23)/($E$33*X69+$E$23))+$E$24*X69*(1-$E$33)+$E$25*X69^2/2*(1-$E$33^2))</f>
        <v>10926.54968640297</v>
      </c>
      <c r="AD69" s="72">
        <f>1/9/PI()*$E$21/$E$34*$E$28^2*T69*(3*T69+4*$E$27)/($E$26*$E$27*$E$14*$E$15*$E$17*16*$E$5^2*$E$6^2)</f>
        <v>17.34504909614693</v>
      </c>
      <c r="AE69" s="73">
        <f>1/9/PI()*$E$21/$E$34*$E$28^2*U69*(3*U69+4*$E$27)/($E$26*$E$27*$E$14*$E$15*$E$17*16*$E$5^2*$E$6^2)</f>
        <v>12.369905403331602</v>
      </c>
      <c r="AF69" s="73">
        <f>1/9/PI()*$E$21/$E$34*$E$28^2*V69*(3*V69+4*$E$27)/($E$26*$E$27*$E$14*$E$15*$E$17*16*$E$5^2*$E$6^2)</f>
        <v>8.752325394387281</v>
      </c>
      <c r="AG69" s="73">
        <f>1/9/PI()*$E$21/$E$34*$E$28^2*W69*(3*W69+4*$E$27)/($E$26*$E$27*$E$14*$E$15*$E$17*16*$E$5^2*$E$6^2)</f>
        <v>6.707034763884672</v>
      </c>
      <c r="AH69" s="74">
        <f>1/9/PI()*$E$21/$E$34*$E$28^2*X69*(3*X69+4*$E$27)/($E$26*$E$27*$E$14*$E$15*$E$17*16*$E$5^2*$E$6^2)</f>
        <v>6.515859876924625</v>
      </c>
      <c r="AI69" s="28"/>
      <c r="BX69"/>
    </row>
    <row r="70" spans="1:76" ht="16.5">
      <c r="A70" s="18">
        <v>29</v>
      </c>
      <c r="B70" s="4">
        <v>-0.7179155992224899</v>
      </c>
      <c r="C70" s="11">
        <v>230.61392478009316</v>
      </c>
      <c r="D70" s="4">
        <v>-1.0189111298928748</v>
      </c>
      <c r="E70" s="4">
        <f t="shared" si="10"/>
        <v>1.246427975547148</v>
      </c>
      <c r="F70" s="84">
        <f t="shared" si="11"/>
        <v>1.3535999985340372</v>
      </c>
      <c r="G70" s="87">
        <f t="shared" si="12"/>
        <v>434.812962111889</v>
      </c>
      <c r="H70" s="89">
        <f t="shared" si="13"/>
        <v>1.9211145508232377</v>
      </c>
      <c r="I70" s="89">
        <f t="shared" si="14"/>
        <v>2.350088099075461</v>
      </c>
      <c r="J70" s="57">
        <f>E70*E$29/E$30</f>
        <v>0.5876388336444818</v>
      </c>
      <c r="K70" s="11">
        <f>L$33*E$14/120*F70^2/E$8*E$7*E$10*(E$10-1)*E$5/E$6</f>
        <v>112.92588518754455</v>
      </c>
      <c r="L70" s="11">
        <f>L$34*E$14/6*F70^2/E$9*E$7*E$5/E$6*(1+(G70*E$5/F70)^2/15)</f>
        <v>4895.138670364711</v>
      </c>
      <c r="M70" s="15">
        <f>L$35*E$14/8*H70^2/E$9*E$7*E$6/E$5</f>
        <v>45.66487712038991</v>
      </c>
      <c r="N70" s="11">
        <f>E$14*E$15*(E$12/E$11)^2*J70*(1-E$33)/E$34^2*(E$20/2/PI())^2/E$19*LN((E$18+E$19*J70)/(E$18+E$19*E$33*J70))</f>
        <v>6217.238685152949</v>
      </c>
      <c r="O70" s="11">
        <f t="shared" si="15"/>
        <v>13231.224325660174</v>
      </c>
      <c r="P70" s="11">
        <f t="shared" si="16"/>
        <v>10.705544336413647</v>
      </c>
      <c r="Q70" s="123">
        <f t="shared" si="17"/>
        <v>24512.897987822187</v>
      </c>
      <c r="R70" s="91">
        <f t="shared" si="18"/>
        <v>0.19337897736155754</v>
      </c>
      <c r="S70" s="28"/>
      <c r="T70" s="79">
        <f>SQRT(($B70-$C70*0.8*$E$5)^2+$D70^2)*$E$29/$E$30</f>
        <v>0.9004615671949012</v>
      </c>
      <c r="U70" s="80">
        <f>SQRT(($B70-$C70*0.4*$E$5)^2+$D70^2)*$E$29/$E$30</f>
        <v>0.730280581765335</v>
      </c>
      <c r="V70" s="80">
        <f>SQRT(($B70)^2+$D70^2)*$E$29/$E$30</f>
        <v>0.5876388336444818</v>
      </c>
      <c r="W70" s="80">
        <f>SQRT(($B70+$C70*0.4*$E$5)^2+$D70^2)*$E$29/$E$30</f>
        <v>0.49685012438932774</v>
      </c>
      <c r="X70" s="81">
        <f>SQRT(($B70+$C70*0.8*$E$5)^2+$D70^2)*$E$29/$E$30</f>
        <v>0.4877824002559402</v>
      </c>
      <c r="Y70" s="82">
        <f>$L$36*$E$14*$E$15*$E$17/$E$34*2/3*$E$21/PI()*($E$22*$E$23*LN((T70+$E$23)/($E$33*T70+$E$23))+$E$24*T70*(1-$E$33)+$E$25*T70^2/2*(1-$E$33^2))</f>
        <v>16353.179673542763</v>
      </c>
      <c r="Z70" s="82">
        <f>$L$36*$E$14*$E$15*$E$17/$E$34*2/3*$E$21/PI()*($E$22*$E$23*LN((U70+$E$23)/($E$33*U70+$E$23))+$E$24*U70*(1-$E$33)+$E$25*U70^2/2*(1-$E$33^2))</f>
        <v>14449.156248958607</v>
      </c>
      <c r="AA70" s="82">
        <f>$L$36*$E$14*$E$15*$E$17/$E$34*2/3*$E$21/PI()*($E$22*$E$23*LN((V70+$E$23)/($E$33*V70+$E$23))+$E$24*V70*(1-$E$33)+$E$25*V70^2/2*(1-$E$33^2))</f>
        <v>12665.46979292016</v>
      </c>
      <c r="AB70" s="82">
        <f>$L$36*$E$14*$E$15*$E$17/$E$34*2/3*$E$21/PI()*($E$22*$E$23*LN((W70+$E$23)/($E$33*W70+$E$23))+$E$24*W70*(1-$E$33)+$E$25*W70^2/2*(1-$E$33^2))</f>
        <v>11410.003324482492</v>
      </c>
      <c r="AC70" s="82">
        <f>$L$36*$E$14*$E$15*$E$17/$E$34*2/3*$E$21/PI()*($E$22*$E$23*LN((X70+$E$23)/($E$33*X70+$E$23))+$E$24*X70*(1-$E$33)+$E$25*X70^2/2*(1-$E$33^2))</f>
        <v>11278.312588396844</v>
      </c>
      <c r="AD70" s="72">
        <f>1/9/PI()*$E$21/$E$34*$E$28^2*T70*(3*T70+4*$E$27)/($E$26*$E$27*$E$14*$E$15*$E$17*16*$E$5^2*$E$6^2)</f>
        <v>17.527181968933473</v>
      </c>
      <c r="AE70" s="73">
        <f>1/9/PI()*$E$21/$E$34*$E$28^2*U70*(3*U70+4*$E$27)/($E$26*$E$27*$E$14*$E$15*$E$17*16*$E$5^2*$E$6^2)</f>
        <v>12.671036403145852</v>
      </c>
      <c r="AF70" s="73">
        <f>1/9/PI()*$E$21/$E$34*$E$28^2*V70*(3*V70+4*$E$27)/($E$26*$E$27*$E$14*$E$15*$E$17*16*$E$5^2*$E$6^2)</f>
        <v>9.154954579345738</v>
      </c>
      <c r="AG70" s="73">
        <f>1/9/PI()*$E$21/$E$34*$E$28^2*W70*(3*W70+4*$E$27)/($E$26*$E$27*$E$14*$E$15*$E$17*16*$E$5^2*$E$6^2)</f>
        <v>7.180264408823396</v>
      </c>
      <c r="AH70" s="74">
        <f>1/9/PI()*$E$21/$E$34*$E$28^2*X70*(3*X70+4*$E$27)/($E$26*$E$27*$E$14*$E$15*$E$17*16*$E$5^2*$E$6^2)</f>
        <v>6.9942843218197694</v>
      </c>
      <c r="AI70" s="28"/>
      <c r="BX70"/>
    </row>
    <row r="71" spans="1:76" ht="16.5">
      <c r="A71" s="18">
        <v>30</v>
      </c>
      <c r="B71" s="4">
        <v>-0.7102502150156997</v>
      </c>
      <c r="C71" s="11">
        <v>227.50587821073148</v>
      </c>
      <c r="D71" s="4">
        <v>-1.072381236051545</v>
      </c>
      <c r="E71" s="4">
        <f t="shared" si="10"/>
        <v>1.2862569274314084</v>
      </c>
      <c r="F71" s="84">
        <f t="shared" si="11"/>
        <v>1.339147235476219</v>
      </c>
      <c r="G71" s="87">
        <f t="shared" si="12"/>
        <v>428.95286959364876</v>
      </c>
      <c r="H71" s="89">
        <f t="shared" si="13"/>
        <v>2.0219302117398916</v>
      </c>
      <c r="I71" s="89">
        <f t="shared" si="14"/>
        <v>2.4251839310514414</v>
      </c>
      <c r="J71" s="57">
        <f>E71*E$29/E$30</f>
        <v>0.6064165242048006</v>
      </c>
      <c r="K71" s="11">
        <f>L$33*E$14/120*F71^2/E$8*E$7*E$10*(E$10-1)*E$5/E$6</f>
        <v>110.52727715159286</v>
      </c>
      <c r="L71" s="11">
        <f>L$34*E$14/6*F71^2/E$9*E$7*E$5/E$6*(1+(G71*E$5/F71)^2/15)</f>
        <v>4787.371277411114</v>
      </c>
      <c r="M71" s="15">
        <f>L$35*E$14/8*H71^2/E$9*E$7*E$6/E$5</f>
        <v>50.583408872696744</v>
      </c>
      <c r="N71" s="11">
        <f>E$14*E$15*(E$12/E$11)^2*J71*(1-E$33)/E$34^2*(E$20/2/PI())^2/E$19*LN((E$18+E$19*J71)/(E$18+E$19*E$33*J71))</f>
        <v>6587.645407012686</v>
      </c>
      <c r="O71" s="11">
        <f t="shared" si="15"/>
        <v>13461.43508542481</v>
      </c>
      <c r="P71" s="11">
        <f t="shared" si="16"/>
        <v>11.095914307141399</v>
      </c>
      <c r="Q71" s="123">
        <f t="shared" si="17"/>
        <v>25008.658370180037</v>
      </c>
      <c r="R71" s="91">
        <f t="shared" si="18"/>
        <v>0.19728996478558072</v>
      </c>
      <c r="S71" s="28"/>
      <c r="T71" s="79">
        <f>SQRT(($B71-$C71*0.8*$E$5)^2+$D71^2)*$E$29/$E$30</f>
        <v>0.9064109356304038</v>
      </c>
      <c r="U71" s="80">
        <f>SQRT(($B71-$C71*0.4*$E$5)^2+$D71^2)*$E$29/$E$30</f>
        <v>0.7423569939623462</v>
      </c>
      <c r="V71" s="80">
        <f>SQRT(($B71)^2+$D71^2)*$E$29/$E$30</f>
        <v>0.6064165242048006</v>
      </c>
      <c r="W71" s="80">
        <f>SQRT(($B71+$C71*0.4*$E$5)^2+$D71^2)*$E$29/$E$30</f>
        <v>0.5210777938675244</v>
      </c>
      <c r="X71" s="81">
        <f>SQRT(($B71+$C71*0.8*$E$5)^2+$D71^2)*$E$29/$E$30</f>
        <v>0.5122861561514761</v>
      </c>
      <c r="Y71" s="82">
        <f>$L$36*$E$14*$E$15*$E$17/$E$34*2/3*$E$21/PI()*($E$22*$E$23*LN((T71+$E$23)/($E$33*T71+$E$23))+$E$24*T71*(1-$E$33)+$E$25*T71^2/2*(1-$E$33^2))</f>
        <v>16416.173314678796</v>
      </c>
      <c r="Z71" s="82">
        <f>$L$36*$E$14*$E$15*$E$17/$E$34*2/3*$E$21/PI()*($E$22*$E$23*LN((U71+$E$23)/($E$33*U71+$E$23))+$E$24*U71*(1-$E$33)+$E$25*U71^2/2*(1-$E$33^2))</f>
        <v>14591.459562832233</v>
      </c>
      <c r="AA71" s="82">
        <f>$L$36*$E$14*$E$15*$E$17/$E$34*2/3*$E$21/PI()*($E$22*$E$23*LN((V71+$E$23)/($E$33*V71+$E$23))+$E$24*V71*(1-$E$33)+$E$25*V71^2/2*(1-$E$33^2))</f>
        <v>12912.279038297012</v>
      </c>
      <c r="AB71" s="82">
        <f>$L$36*$E$14*$E$15*$E$17/$E$34*2/3*$E$21/PI()*($E$22*$E$23*LN((W71+$E$23)/($E$33*W71+$E$23))+$E$24*W71*(1-$E$33)+$E$25*W71^2/2*(1-$E$33^2))</f>
        <v>11755.901073133851</v>
      </c>
      <c r="AC71" s="82">
        <f>$L$36*$E$14*$E$15*$E$17/$E$34*2/3*$E$21/PI()*($E$22*$E$23*LN((X71+$E$23)/($E$33*X71+$E$23))+$E$24*X71*(1-$E$33)+$E$25*X71^2/2*(1-$E$33^2))</f>
        <v>11631.362438182157</v>
      </c>
      <c r="AD71" s="72">
        <f>1/9/PI()*$E$21/$E$34*$E$28^2*T71*(3*T71+4*$E$27)/($E$26*$E$27*$E$14*$E$15*$E$17*16*$E$5^2*$E$6^2)</f>
        <v>17.70996338437125</v>
      </c>
      <c r="AE71" s="73">
        <f>1/9/PI()*$E$21/$E$34*$E$28^2*U71*(3*U71+4*$E$27)/($E$26*$E$27*$E$14*$E$15*$E$17*16*$E$5^2*$E$6^2)</f>
        <v>12.991923947469086</v>
      </c>
      <c r="AF71" s="73">
        <f>1/9/PI()*$E$21/$E$34*$E$28^2*V71*(3*V71+4*$E$27)/($E$26*$E$27*$E$14*$E$15*$E$17*16*$E$5^2*$E$6^2)</f>
        <v>9.588930921910423</v>
      </c>
      <c r="AG71" s="73">
        <f>1/9/PI()*$E$21/$E$34*$E$28^2*W71*(3*W71+4*$E$27)/($E$26*$E$27*$E$14*$E$15*$E$17*16*$E$5^2*$E$6^2)</f>
        <v>7.68719607370252</v>
      </c>
      <c r="AH71" s="74">
        <f>1/9/PI()*$E$21/$E$34*$E$28^2*X71*(3*X71+4*$E$27)/($E$26*$E$27*$E$14*$E$15*$E$17*16*$E$5^2*$E$6^2)</f>
        <v>7.501557208253716</v>
      </c>
      <c r="AI71" s="28"/>
      <c r="BX71"/>
    </row>
    <row r="72" spans="1:76" ht="16.5">
      <c r="A72" s="18">
        <v>31</v>
      </c>
      <c r="B72" s="4">
        <v>-0.7022009474414048</v>
      </c>
      <c r="C72" s="11">
        <v>223.56423801738163</v>
      </c>
      <c r="D72" s="4">
        <v>-1.1280864983109464</v>
      </c>
      <c r="E72" s="4">
        <f t="shared" si="10"/>
        <v>1.3287833977962924</v>
      </c>
      <c r="F72" s="84">
        <f t="shared" si="11"/>
        <v>1.323970676297723</v>
      </c>
      <c r="G72" s="87">
        <f t="shared" si="12"/>
        <v>421.52107097314473</v>
      </c>
      <c r="H72" s="89">
        <f t="shared" si="13"/>
        <v>2.1269601665066156</v>
      </c>
      <c r="I72" s="89">
        <f t="shared" si="14"/>
        <v>2.505365821911463</v>
      </c>
      <c r="J72" s="57">
        <f>E72*E$29/E$30</f>
        <v>0.6264659822838101</v>
      </c>
      <c r="K72" s="11">
        <f>L$33*E$14/120*F72^2/E$8*E$7*E$10*(E$10-1)*E$5/E$6</f>
        <v>108.03626108649713</v>
      </c>
      <c r="L72" s="11">
        <f>L$34*E$14/6*F72^2/E$9*E$7*E$5/E$6*(1+(G72*E$5/F72)^2/15)</f>
        <v>4671.595459861975</v>
      </c>
      <c r="M72" s="15">
        <f>L$35*E$14/8*H72^2/E$9*E$7*E$6/E$5</f>
        <v>55.975049150399826</v>
      </c>
      <c r="N72" s="11">
        <f>E$14*E$15*(E$12/E$11)^2*J72*(1-E$33)/E$34^2*(E$20/2/PI())^2/E$19*LN((E$18+E$19*J72)/(E$18+E$19*E$33*J72))</f>
        <v>6993.0355748512075</v>
      </c>
      <c r="O72" s="11">
        <f t="shared" si="15"/>
        <v>13698.199191343592</v>
      </c>
      <c r="P72" s="11">
        <f t="shared" si="16"/>
        <v>11.514341916538136</v>
      </c>
      <c r="Q72" s="123">
        <f t="shared" si="17"/>
        <v>25538.35587821021</v>
      </c>
      <c r="R72" s="91">
        <f t="shared" si="18"/>
        <v>0.2014686776601143</v>
      </c>
      <c r="S72" s="28"/>
      <c r="T72" s="79">
        <f>SQRT(($B72-$C72*0.8*$E$5)^2+$D72^2)*$E$29/$E$30</f>
        <v>0.9123354542367011</v>
      </c>
      <c r="U72" s="80">
        <f>SQRT(($B72-$C72*0.4*$E$5)^2+$D72^2)*$E$29/$E$30</f>
        <v>0.7552068426008562</v>
      </c>
      <c r="V72" s="80">
        <f>SQRT(($B72)^2+$D72^2)*$E$29/$E$30</f>
        <v>0.6264659822838101</v>
      </c>
      <c r="W72" s="80">
        <f>SQRT(($B72+$C72*0.4*$E$5)^2+$D72^2)*$E$29/$E$30</f>
        <v>0.5465553371803094</v>
      </c>
      <c r="X72" s="81">
        <f>SQRT(($B72+$C72*0.8*$E$5)^2+$D72^2)*$E$29/$E$30</f>
        <v>0.5377050344152844</v>
      </c>
      <c r="Y72" s="82">
        <f>$L$36*$E$14*$E$15*$E$17/$E$34*2/3*$E$21/PI()*($E$22*$E$23*LN((T72+$E$23)/($E$33*T72+$E$23))+$E$24*T72*(1-$E$33)+$E$25*T72^2/2*(1-$E$33^2))</f>
        <v>16478.688840573006</v>
      </c>
      <c r="Z72" s="82">
        <f>$L$36*$E$14*$E$15*$E$17/$E$34*2/3*$E$21/PI()*($E$22*$E$23*LN((U72+$E$23)/($E$33*U72+$E$23))+$E$24*U72*(1-$E$33)+$E$25*U72^2/2*(1-$E$33^2))</f>
        <v>14741.55610606417</v>
      </c>
      <c r="AA72" s="82">
        <f>$L$36*$E$14*$E$15*$E$17/$E$34*2/3*$E$21/PI()*($E$22*$E$23*LN((V72+$E$23)/($E$33*V72+$E$23))+$E$24*V72*(1-$E$33)+$E$25*V72^2/2*(1-$E$33^2))</f>
        <v>13171.457933278512</v>
      </c>
      <c r="AB72" s="82">
        <f>$L$36*$E$14*$E$15*$E$17/$E$34*2/3*$E$21/PI()*($E$22*$E$23*LN((W72+$E$23)/($E$33*W72+$E$23))+$E$24*W72*(1-$E$33)+$E$25*W72^2/2*(1-$E$33^2))</f>
        <v>12110.792033406186</v>
      </c>
      <c r="AC72" s="82">
        <f>$L$36*$E$14*$E$15*$E$17/$E$34*2/3*$E$21/PI()*($E$22*$E$23*LN((X72+$E$23)/($E$33*X72+$E$23))+$E$24*X72*(1-$E$33)+$E$25*X72^2/2*(1-$E$33^2))</f>
        <v>11988.501043396082</v>
      </c>
      <c r="AD72" s="72">
        <f>1/9/PI()*$E$21/$E$34*$E$28^2*T72*(3*T72+4*$E$27)/($E$26*$E$27*$E$14*$E$15*$E$17*16*$E$5^2*$E$6^2)</f>
        <v>17.892855095169203</v>
      </c>
      <c r="AE72" s="73">
        <f>1/9/PI()*$E$21/$E$34*$E$28^2*U72*(3*U72+4*$E$27)/($E$26*$E$27*$E$14*$E$15*$E$17*16*$E$5^2*$E$6^2)</f>
        <v>13.33734110421791</v>
      </c>
      <c r="AF72" s="73">
        <f>1/9/PI()*$E$21/$E$34*$E$28^2*V72*(3*V72+4*$E$27)/($E$26*$E$27*$E$14*$E$15*$E$17*16*$E$5^2*$E$6^2)</f>
        <v>10.061968408200885</v>
      </c>
      <c r="AG72" s="73">
        <f>1/9/PI()*$E$21/$E$34*$E$28^2*W72*(3*W72+4*$E$27)/($E$26*$E$27*$E$14*$E$15*$E$17*16*$E$5^2*$E$6^2)</f>
        <v>8.236008708538815</v>
      </c>
      <c r="AH72" s="74">
        <f>1/9/PI()*$E$21/$E$34*$E$28^2*X72*(3*X72+4*$E$27)/($E$26*$E$27*$E$14*$E$15*$E$17*16*$E$5^2*$E$6^2)</f>
        <v>8.043536266563871</v>
      </c>
      <c r="AI72" s="28"/>
      <c r="BX72"/>
    </row>
    <row r="73" spans="1:76" ht="16.5">
      <c r="A73" s="18">
        <v>32</v>
      </c>
      <c r="B73" s="4">
        <v>-0.6934456903989243</v>
      </c>
      <c r="C73" s="11">
        <v>218.6426703280376</v>
      </c>
      <c r="D73" s="4">
        <v>-1.1866289424589562</v>
      </c>
      <c r="E73" s="4">
        <f t="shared" si="10"/>
        <v>1.374392655908093</v>
      </c>
      <c r="F73" s="84">
        <f t="shared" si="11"/>
        <v>1.3074630033446604</v>
      </c>
      <c r="G73" s="87">
        <f t="shared" si="12"/>
        <v>412.2416598218951</v>
      </c>
      <c r="H73" s="89">
        <f t="shared" si="13"/>
        <v>2.237339509703429</v>
      </c>
      <c r="I73" s="89">
        <f t="shared" si="14"/>
        <v>2.59136018083072</v>
      </c>
      <c r="J73" s="57">
        <f>E73*E$29/E$30</f>
        <v>0.6479688462807799</v>
      </c>
      <c r="K73" s="11">
        <f>L$33*E$14/120*F73^2/E$8*E$7*E$10*(E$10-1)*E$5/E$6</f>
        <v>105.35899770382429</v>
      </c>
      <c r="L73" s="11">
        <f>L$34*E$14/6*F73^2/E$9*E$7*E$5/E$6*(1+(G73*E$5/F73)^2/15)</f>
        <v>4543.742124326728</v>
      </c>
      <c r="M73" s="15">
        <f>L$35*E$14/8*H73^2/E$9*E$7*E$6/E$5</f>
        <v>61.93548667105981</v>
      </c>
      <c r="N73" s="11">
        <f>E$14*E$15*(E$12/E$11)^2*J73*(1-E$33)/E$34^2*(E$20/2/PI())^2/E$19*LN((E$18+E$19*J73)/(E$18+E$19*E$33*J73))</f>
        <v>7439.011858282993</v>
      </c>
      <c r="O73" s="11">
        <f t="shared" si="15"/>
        <v>13943.360447532224</v>
      </c>
      <c r="P73" s="11">
        <f t="shared" si="16"/>
        <v>11.966123879731668</v>
      </c>
      <c r="Q73" s="123">
        <f t="shared" si="17"/>
        <v>26105.37503839656</v>
      </c>
      <c r="R73" s="91">
        <f t="shared" si="18"/>
        <v>0.2059418160624247</v>
      </c>
      <c r="S73" s="28"/>
      <c r="T73" s="79">
        <f>SQRT(($B73-$C73*0.8*$E$5)^2+$D73^2)*$E$29/$E$30</f>
        <v>0.918227102406949</v>
      </c>
      <c r="U73" s="80">
        <f>SQRT(($B73-$C73*0.4*$E$5)^2+$D73^2)*$E$29/$E$30</f>
        <v>0.7689367904096581</v>
      </c>
      <c r="V73" s="80">
        <f>SQRT(($B73)^2+$D73^2)*$E$29/$E$30</f>
        <v>0.6479688462807799</v>
      </c>
      <c r="W73" s="80">
        <f>SQRT(($B73+$C73*0.4*$E$5)^2+$D73^2)*$E$29/$E$30</f>
        <v>0.5735333694820874</v>
      </c>
      <c r="X73" s="81">
        <f>SQRT(($B73+$C73*0.8*$E$5)^2+$D73^2)*$E$29/$E$30</f>
        <v>0.5643531590436982</v>
      </c>
      <c r="Y73" s="82">
        <f>$L$36*$E$14*$E$15*$E$17/$E$34*2/3*$E$21/PI()*($E$22*$E$23*LN((T73+$E$23)/($E$33*T73+$E$23))+$E$24*T73*(1-$E$33)+$E$25*T73^2/2*(1-$E$33^2))</f>
        <v>16540.64681155559</v>
      </c>
      <c r="Z73" s="82">
        <f>$L$36*$E$14*$E$15*$E$17/$E$34*2/3*$E$21/PI()*($E$22*$E$23*LN((U73+$E$23)/($E$33*U73+$E$23))+$E$24*U73*(1-$E$33)+$E$25*U73^2/2*(1-$E$33^2))</f>
        <v>14900.466688122671</v>
      </c>
      <c r="AA73" s="82">
        <f>$L$36*$E$14*$E$15*$E$17/$E$34*2/3*$E$21/PI()*($E$22*$E$23*LN((V73+$E$23)/($E$33*V73+$E$23))+$E$24*V73*(1-$E$33)+$E$25*V73^2/2*(1-$E$33^2))</f>
        <v>13444.67353248814</v>
      </c>
      <c r="AB73" s="82">
        <f>$L$36*$E$14*$E$15*$E$17/$E$34*2/3*$E$21/PI()*($E$22*$E$23*LN((W73+$E$23)/($E$33*W73+$E$23))+$E$24*W73*(1-$E$33)+$E$25*W73^2/2*(1-$E$33^2))</f>
        <v>12477.365405163913</v>
      </c>
      <c r="AC73" s="82">
        <f>$L$36*$E$14*$E$15*$E$17/$E$34*2/3*$E$21/PI()*($E$22*$E$23*LN((X73+$E$23)/($E$33*X73+$E$23))+$E$24*X73*(1-$E$33)+$E$25*X73^2/2*(1-$E$33^2))</f>
        <v>12353.649800330806</v>
      </c>
      <c r="AD73" s="72">
        <f>1/9/PI()*$E$21/$E$34*$E$28^2*T73*(3*T73+4*$E$27)/($E$26*$E$27*$E$14*$E$15*$E$17*16*$E$5^2*$E$6^2)</f>
        <v>18.075596766260666</v>
      </c>
      <c r="AE73" s="73">
        <f>1/9/PI()*$E$21/$E$34*$E$28^2*U73*(3*U73+4*$E$27)/($E$26*$E$27*$E$14*$E$15*$E$17*16*$E$5^2*$E$6^2)</f>
        <v>13.710948994480933</v>
      </c>
      <c r="AF73" s="73">
        <f>1/9/PI()*$E$21/$E$34*$E$28^2*V73*(3*V73+4*$E$27)/($E$26*$E$27*$E$14*$E$15*$E$17*16*$E$5^2*$E$6^2)</f>
        <v>10.580394595989889</v>
      </c>
      <c r="AG73" s="73">
        <f>1/9/PI()*$E$21/$E$34*$E$28^2*W73*(3*W73+4*$E$27)/($E$26*$E$27*$E$14*$E$15*$E$17*16*$E$5^2*$E$6^2)</f>
        <v>8.834720410123774</v>
      </c>
      <c r="AH73" s="74">
        <f>1/9/PI()*$E$21/$E$34*$E$28^2*X73*(3*X73+4*$E$27)/($E$26*$E$27*$E$14*$E$15*$E$17*16*$E$5^2*$E$6^2)</f>
        <v>8.62895863180308</v>
      </c>
      <c r="AI73" s="28"/>
      <c r="BX73"/>
    </row>
    <row r="74" spans="1:76" ht="16.5">
      <c r="A74" s="18">
        <v>33</v>
      </c>
      <c r="B74" s="4">
        <v>-0.68417335829729</v>
      </c>
      <c r="C74" s="11">
        <v>212.54789818753315</v>
      </c>
      <c r="D74" s="4">
        <v>-1.2484668110260242</v>
      </c>
      <c r="E74" s="4">
        <f t="shared" si="10"/>
        <v>1.4236441136875755</v>
      </c>
      <c r="F74" s="84">
        <f t="shared" si="11"/>
        <v>1.2899804068768137</v>
      </c>
      <c r="G74" s="87">
        <f t="shared" si="12"/>
        <v>400.75022048085435</v>
      </c>
      <c r="H74" s="89">
        <f t="shared" si="13"/>
        <v>2.353932238559555</v>
      </c>
      <c r="I74" s="89">
        <f t="shared" si="14"/>
        <v>2.684221755715438</v>
      </c>
      <c r="J74" s="57">
        <f>E74*E$29/E$30</f>
        <v>0.6711888555975001</v>
      </c>
      <c r="K74" s="11">
        <f>L$33*E$14/120*F74^2/E$8*E$7*E$10*(E$10-1)*E$5/E$6</f>
        <v>102.56024297170127</v>
      </c>
      <c r="L74" s="11">
        <f>L$34*E$14/6*F74^2/E$9*E$7*E$5/E$6*(1+(G74*E$5/F74)^2/15)</f>
        <v>4405.5388535107695</v>
      </c>
      <c r="M74" s="15">
        <f>L$35*E$14/8*H74^2/E$9*E$7*E$6/E$5</f>
        <v>68.55887526955422</v>
      </c>
      <c r="N74" s="11">
        <f>E$14*E$15*(E$12/E$11)^2*J74*(1-E$33)/E$34^2*(E$20/2/PI())^2/E$19*LN((E$18+E$19*J74)/(E$18+E$19*E$33*J74))</f>
        <v>7933.423786155654</v>
      </c>
      <c r="O74" s="11">
        <f t="shared" si="15"/>
        <v>14199.169160947311</v>
      </c>
      <c r="P74" s="11">
        <f t="shared" si="16"/>
        <v>12.458726931574102</v>
      </c>
      <c r="Q74" s="123">
        <f t="shared" si="17"/>
        <v>26721.709645786563</v>
      </c>
      <c r="R74" s="91">
        <f t="shared" si="18"/>
        <v>0.2108039974392993</v>
      </c>
      <c r="S74" s="28"/>
      <c r="T74" s="79">
        <f>SQRT(($B74-$C74*0.8*$E$5)^2+$D74^2)*$E$29/$E$30</f>
        <v>0.9242301354655608</v>
      </c>
      <c r="U74" s="80">
        <f>SQRT(($B74-$C74*0.4*$E$5)^2+$D74^2)*$E$29/$E$30</f>
        <v>0.7837866107809083</v>
      </c>
      <c r="V74" s="80">
        <f>SQRT(($B74)^2+$D74^2)*$E$29/$E$30</f>
        <v>0.6711888555975001</v>
      </c>
      <c r="W74" s="80">
        <f>SQRT(($B74+$C74*0.4*$E$5)^2+$D74^2)*$E$29/$E$30</f>
        <v>0.6022627576226717</v>
      </c>
      <c r="X74" s="81">
        <f>SQRT(($B74+$C74*0.8*$E$5)^2+$D74^2)*$E$29/$E$30</f>
        <v>0.5924519383564986</v>
      </c>
      <c r="Y74" s="82">
        <f>$L$36*$E$14*$E$15*$E$17/$E$34*2/3*$E$21/PI()*($E$22*$E$23*LN((T74+$E$23)/($E$33*T74+$E$23))+$E$24*T74*(1-$E$33)+$E$25*T74^2/2*(1-$E$33^2))</f>
        <v>16603.562100157418</v>
      </c>
      <c r="Z74" s="82">
        <f>$L$36*$E$14*$E$15*$E$17/$E$34*2/3*$E$21/PI()*($E$22*$E$23*LN((U74+$E$23)/($E$33*U74+$E$23))+$E$24*U74*(1-$E$33)+$E$25*U74^2/2*(1-$E$33^2))</f>
        <v>15070.679392035361</v>
      </c>
      <c r="AA74" s="82">
        <f>$L$36*$E$14*$E$15*$E$17/$E$34*2/3*$E$21/PI()*($E$22*$E$23*LN((V74+$E$23)/($E$33*V74+$E$23))+$E$24*V74*(1-$E$33)+$E$25*V74^2/2*(1-$E$33^2))</f>
        <v>13734.45755945342</v>
      </c>
      <c r="AB74" s="82">
        <f>$L$36*$E$14*$E$15*$E$17/$E$34*2/3*$E$21/PI()*($E$22*$E$23*LN((W74+$E$23)/($E$33*W74+$E$23))+$E$24*W74*(1-$E$33)+$E$25*W74^2/2*(1-$E$33^2))</f>
        <v>12858.028864148466</v>
      </c>
      <c r="AC74" s="82">
        <f>$L$36*$E$14*$E$15*$E$17/$E$34*2/3*$E$21/PI()*($E$22*$E$23*LN((X74+$E$23)/($E$33*X74+$E$23))+$E$24*X74*(1-$E$33)+$E$25*X74^2/2*(1-$E$33^2))</f>
        <v>12729.117888941897</v>
      </c>
      <c r="AD74" s="72">
        <f>1/9/PI()*$E$21/$E$34*$E$28^2*T74*(3*T74+4*$E$27)/($E$26*$E$27*$E$14*$E$15*$E$17*16*$E$5^2*$E$6^2)</f>
        <v>18.26268015253686</v>
      </c>
      <c r="AE74" s="73">
        <f>1/9/PI()*$E$21/$E$34*$E$28^2*U74*(3*U74+4*$E$27)/($E$26*$E$27*$E$14*$E$15*$E$17*16*$E$5^2*$E$6^2)</f>
        <v>14.120301278242355</v>
      </c>
      <c r="AF74" s="73">
        <f>1/9/PI()*$E$21/$E$34*$E$28^2*V74*(3*V74+4*$E$27)/($E$26*$E$27*$E$14*$E$15*$E$17*16*$E$5^2*$E$6^2)</f>
        <v>11.15311888869785</v>
      </c>
      <c r="AG74" s="73">
        <f>1/9/PI()*$E$21/$E$34*$E$28^2*W74*(3*W74+4*$E$27)/($E$26*$E$27*$E$14*$E$15*$E$17*16*$E$5^2*$E$6^2)</f>
        <v>9.49217760516359</v>
      </c>
      <c r="AH74" s="74">
        <f>1/9/PI()*$E$21/$E$34*$E$28^2*X74*(3*X74+4*$E$27)/($E$26*$E$27*$E$14*$E$15*$E$17*16*$E$5^2*$E$6^2)</f>
        <v>9.265356733229865</v>
      </c>
      <c r="AI74" s="28"/>
      <c r="BX74"/>
    </row>
    <row r="75" spans="1:76" ht="16.5">
      <c r="A75" s="18">
        <v>34</v>
      </c>
      <c r="B75" s="4">
        <v>-0.6739838818223287</v>
      </c>
      <c r="C75" s="11">
        <v>204.83970364331694</v>
      </c>
      <c r="D75" s="4">
        <v>-1.3146950729765248</v>
      </c>
      <c r="E75" s="4">
        <f t="shared" si="10"/>
        <v>1.4773887125144298</v>
      </c>
      <c r="F75" s="84">
        <f t="shared" si="11"/>
        <v>1.2707685728443623</v>
      </c>
      <c r="G75" s="87">
        <f t="shared" si="12"/>
        <v>386.2167403126409</v>
      </c>
      <c r="H75" s="89">
        <f t="shared" si="13"/>
        <v>2.4788028715088846</v>
      </c>
      <c r="I75" s="89">
        <f t="shared" si="14"/>
        <v>2.7855549611396273</v>
      </c>
      <c r="J75" s="57">
        <f>E75*E$29/E$30</f>
        <v>0.6965271936233611</v>
      </c>
      <c r="K75" s="11">
        <f>L$33*E$14/120*F75^2/E$8*E$7*E$10*(E$10-1)*E$5/E$6</f>
        <v>99.52810717501934</v>
      </c>
      <c r="L75" s="11">
        <f>L$34*E$14/6*F75^2/E$9*E$7*E$5/E$6*(1+(G75*E$5/F75)^2/15)</f>
        <v>4251.040667381449</v>
      </c>
      <c r="M75" s="15">
        <f>L$35*E$14/8*H75^2/E$9*E$7*E$6/E$5</f>
        <v>76.02558167500588</v>
      </c>
      <c r="N75" s="11">
        <f>E$14*E$15*(E$12/E$11)^2*J75*(1-E$33)/E$34^2*(E$20/2/PI())^2/E$19*LN((E$18+E$19*J75)/(E$18+E$19*E$33*J75))</f>
        <v>8487.889041829609</v>
      </c>
      <c r="O75" s="11">
        <f t="shared" si="15"/>
        <v>14468.851292418543</v>
      </c>
      <c r="P75" s="11">
        <f t="shared" si="16"/>
        <v>13.001698613390994</v>
      </c>
      <c r="Q75" s="123">
        <f t="shared" si="17"/>
        <v>27396.33638909302</v>
      </c>
      <c r="R75" s="91">
        <f t="shared" si="18"/>
        <v>0.2161260376887293</v>
      </c>
      <c r="S75" s="28"/>
      <c r="T75" s="79">
        <f>SQRT(($B75-$C75*0.8*$E$5)^2+$D75^2)*$E$29/$E$30</f>
        <v>0.9302090545086215</v>
      </c>
      <c r="U75" s="80">
        <f>SQRT(($B75-$C75*0.4*$E$5)^2+$D75^2)*$E$29/$E$30</f>
        <v>0.7999382142334431</v>
      </c>
      <c r="V75" s="80">
        <f>SQRT(($B75)^2+$D75^2)*$E$29/$E$30</f>
        <v>0.6965271936233611</v>
      </c>
      <c r="W75" s="80">
        <f>SQRT(($B75+$C75*0.4*$E$5)^2+$D75^2)*$E$29/$E$30</f>
        <v>0.6332739057369714</v>
      </c>
      <c r="X75" s="81">
        <f>SQRT(($B75+$C75*0.8*$E$5)^2+$D75^2)*$E$29/$E$30</f>
        <v>0.622541782760451</v>
      </c>
      <c r="Y75" s="82">
        <f>$L$36*$E$14*$E$15*$E$17/$E$34*2/3*$E$21/PI()*($E$22*$E$23*LN((T75+$E$23)/($E$33*T75+$E$23))+$E$24*T75*(1-$E$33)+$E$25*T75^2/2*(1-$E$33^2))</f>
        <v>16666.01198546106</v>
      </c>
      <c r="Z75" s="82">
        <f>$L$36*$E$14*$E$15*$E$17/$E$34*2/3*$E$21/PI()*($E$22*$E$23*LN((U75+$E$23)/($E$33*U75+$E$23))+$E$24*U75*(1-$E$33)+$E$25*U75^2/2*(1-$E$33^2))</f>
        <v>15253.911530230213</v>
      </c>
      <c r="AA75" s="82">
        <f>$L$36*$E$14*$E$15*$E$17/$E$34*2/3*$E$21/PI()*($E$22*$E$23*LN((V75+$E$23)/($E$33*V75+$E$23))+$E$24*V75*(1-$E$33)+$E$25*V75^2/2*(1-$E$33^2))</f>
        <v>14044.779525497588</v>
      </c>
      <c r="AB75" s="82">
        <f>$L$36*$E$14*$E$15*$E$17/$E$34*2/3*$E$21/PI()*($E$22*$E$23*LN((W75+$E$23)/($E$33*W75+$E$23))+$E$24*W75*(1-$E$33)+$E$25*W75^2/2*(1-$E$33^2))</f>
        <v>13258.480190478074</v>
      </c>
      <c r="AC75" s="82">
        <f>$L$36*$E$14*$E$15*$E$17/$E$34*2/3*$E$21/PI()*($E$22*$E$23*LN((X75+$E$23)/($E$33*X75+$E$23))+$E$24*X75*(1-$E$33)+$E$25*X75^2/2*(1-$E$33^2))</f>
        <v>13121.07323042577</v>
      </c>
      <c r="AD75" s="72">
        <f>1/9/PI()*$E$21/$E$34*$E$28^2*T75*(3*T75+4*$E$27)/($E$26*$E$27*$E$14*$E$15*$E$17*16*$E$5^2*$E$6^2)</f>
        <v>18.449901830564663</v>
      </c>
      <c r="AE75" s="73">
        <f>1/9/PI()*$E$21/$E$34*$E$28^2*U75*(3*U75+4*$E$27)/($E$26*$E$27*$E$14*$E$15*$E$17*16*$E$5^2*$E$6^2)</f>
        <v>14.571757975222416</v>
      </c>
      <c r="AF75" s="73">
        <f>1/9/PI()*$E$21/$E$34*$E$28^2*V75*(3*V75+4*$E$27)/($E$26*$E$27*$E$14*$E$15*$E$17*16*$E$5^2*$E$6^2)</f>
        <v>11.793374159100432</v>
      </c>
      <c r="AG75" s="73">
        <f>1/9/PI()*$E$21/$E$34*$E$28^2*W75*(3*W75+4*$E$27)/($E$26*$E$27*$E$14*$E$15*$E$17*16*$E$5^2*$E$6^2)</f>
        <v>10.224862371651763</v>
      </c>
      <c r="AH75" s="74">
        <f>1/9/PI()*$E$21/$E$34*$E$28^2*X75*(3*X75+4*$E$27)/($E$26*$E$27*$E$14*$E$15*$E$17*16*$E$5^2*$E$6^2)</f>
        <v>9.968596730415703</v>
      </c>
      <c r="AI75" s="28"/>
      <c r="BX75"/>
    </row>
    <row r="76" spans="1:76" ht="16.5">
      <c r="A76" s="18">
        <v>35</v>
      </c>
      <c r="B76" s="4">
        <v>-0.6632441842624921</v>
      </c>
      <c r="C76" s="11">
        <v>195.01696203664585</v>
      </c>
      <c r="D76" s="4">
        <v>-1.3862719757944502</v>
      </c>
      <c r="E76" s="4">
        <f t="shared" si="10"/>
        <v>1.536763755048598</v>
      </c>
      <c r="F76" s="84">
        <f t="shared" si="11"/>
        <v>1.2505193198444349</v>
      </c>
      <c r="G76" s="87">
        <f t="shared" si="12"/>
        <v>367.696369618941</v>
      </c>
      <c r="H76" s="89">
        <f t="shared" si="13"/>
        <v>2.6137581443213764</v>
      </c>
      <c r="I76" s="89">
        <f t="shared" si="14"/>
        <v>2.8975041339591754</v>
      </c>
      <c r="J76" s="57">
        <f>E76*E$29/E$30</f>
        <v>0.7245200511545423</v>
      </c>
      <c r="K76" s="11">
        <f>L$33*E$14/120*F76^2/E$8*E$7*E$10*(E$10-1)*E$5/E$6</f>
        <v>96.38148746990996</v>
      </c>
      <c r="L76" s="11">
        <f>L$34*E$14/6*F76^2/E$9*E$7*E$5/E$6*(1+(G76*E$5/F76)^2/15)</f>
        <v>4083.119333976332</v>
      </c>
      <c r="M76" s="15">
        <f>L$35*E$14/8*H76^2/E$9*E$7*E$6/E$5</f>
        <v>84.52916299212465</v>
      </c>
      <c r="N76" s="11">
        <f>E$14*E$15*(E$12/E$11)^2*J76*(1-E$33)/E$34^2*(E$20/2/PI())^2/E$19*LN((E$18+E$19*J76)/(E$18+E$19*E$33*J76))</f>
        <v>9118.268444235253</v>
      </c>
      <c r="O76" s="11">
        <f t="shared" si="15"/>
        <v>14756.810766525556</v>
      </c>
      <c r="P76" s="11">
        <f t="shared" si="16"/>
        <v>13.609827958015526</v>
      </c>
      <c r="Q76" s="123">
        <f t="shared" si="17"/>
        <v>28152.71902315719</v>
      </c>
      <c r="R76" s="91">
        <f t="shared" si="18"/>
        <v>0.22209303923795598</v>
      </c>
      <c r="S76" s="28"/>
      <c r="T76" s="79">
        <f>SQRT(($B76-$C76*0.8*$E$5)^2+$D76^2)*$E$29/$E$30</f>
        <v>0.9363577122494503</v>
      </c>
      <c r="U76" s="80">
        <f>SQRT(($B76-$C76*0.4*$E$5)^2+$D76^2)*$E$29/$E$30</f>
        <v>0.8178234666321061</v>
      </c>
      <c r="V76" s="80">
        <f>SQRT(($B76)^2+$D76^2)*$E$29/$E$30</f>
        <v>0.7245200511545423</v>
      </c>
      <c r="W76" s="80">
        <f>SQRT(($B76+$C76*0.4*$E$5)^2+$D76^2)*$E$29/$E$30</f>
        <v>0.6671191881077171</v>
      </c>
      <c r="X76" s="81">
        <f>SQRT(($B76+$C76*0.8*$E$5)^2+$D76^2)*$E$29/$E$30</f>
        <v>0.6551269666436519</v>
      </c>
      <c r="Y76" s="82">
        <f>$L$36*$E$14*$E$15*$E$17/$E$34*2/3*$E$21/PI()*($E$22*$E$23*LN((T76+$E$23)/($E$33*T76+$E$23))+$E$24*T76*(1-$E$33)+$E$25*T76^2/2*(1-$E$33^2))</f>
        <v>16730.015564576184</v>
      </c>
      <c r="Z76" s="82">
        <f>$L$36*$E$14*$E$15*$E$17/$E$34*2/3*$E$21/PI()*($E$22*$E$23*LN((U76+$E$23)/($E$33*U76+$E$23))+$E$24*U76*(1-$E$33)+$E$25*U76^2/2*(1-$E$33^2))</f>
        <v>15454.569161987683</v>
      </c>
      <c r="AA76" s="82">
        <f>$L$36*$E$14*$E$15*$E$17/$E$34*2/3*$E$21/PI()*($E$22*$E$23*LN((V76+$E$23)/($E$33*V76+$E$23))+$E$24*V76*(1-$E$33)+$E$25*V76^2/2*(1-$E$33^2))</f>
        <v>14380.844035095004</v>
      </c>
      <c r="AB76" s="82">
        <f>$L$36*$E$14*$E$15*$E$17/$E$34*2/3*$E$21/PI()*($E$22*$E$23*LN((W76+$E$23)/($E$33*W76+$E$23))+$E$24*W76*(1-$E$33)+$E$25*W76^2/2*(1-$E$33^2))</f>
        <v>13684.050259067668</v>
      </c>
      <c r="AC76" s="82">
        <f>$L$36*$E$14*$E$15*$E$17/$E$34*2/3*$E$21/PI()*($E$22*$E$23*LN((X76+$E$23)/($E$33*X76+$E$23))+$E$24*X76*(1-$E$33)+$E$25*X76^2/2*(1-$E$33^2))</f>
        <v>13534.574811901237</v>
      </c>
      <c r="AD76" s="72">
        <f>1/9/PI()*$E$21/$E$34*$E$28^2*T76*(3*T76+4*$E$27)/($E$26*$E$27*$E$14*$E$15*$E$17*16*$E$5^2*$E$6^2)</f>
        <v>18.643364826761516</v>
      </c>
      <c r="AE76" s="73">
        <f>1/9/PI()*$E$21/$E$34*$E$28^2*U76*(3*U76+4*$E$27)/($E$26*$E$27*$E$14*$E$15*$E$17*16*$E$5^2*$E$6^2)</f>
        <v>15.07923337365443</v>
      </c>
      <c r="AF76" s="73">
        <f>1/9/PI()*$E$21/$E$34*$E$28^2*V76*(3*V76+4*$E$27)/($E$26*$E$27*$E$14*$E$15*$E$17*16*$E$5^2*$E$6^2)</f>
        <v>12.519247085077433</v>
      </c>
      <c r="AG76" s="73">
        <f>1/9/PI()*$E$21/$E$34*$E$28^2*W76*(3*W76+4*$E$27)/($E$26*$E$27*$E$14*$E$15*$E$17*16*$E$5^2*$E$6^2)</f>
        <v>11.051772050293556</v>
      </c>
      <c r="AH76" s="74">
        <f>1/9/PI()*$E$21/$E$34*$E$28^2*X76*(3*X76+4*$E$27)/($E$26*$E$27*$E$14*$E$15*$E$17*16*$E$5^2*$E$6^2)</f>
        <v>10.755522454290695</v>
      </c>
      <c r="AI76" s="28"/>
      <c r="BX76"/>
    </row>
    <row r="77" spans="1:76" ht="16.5">
      <c r="A77" s="15">
        <f>J25</f>
        <v>36.23820889210402</v>
      </c>
      <c r="B77" s="4">
        <v>-0.6526372462371004</v>
      </c>
      <c r="C77" s="11">
        <v>181.6577317804412</v>
      </c>
      <c r="D77" s="4">
        <v>-1.463643292735403</v>
      </c>
      <c r="E77" s="4">
        <f t="shared" si="10"/>
        <v>1.6025564150897398</v>
      </c>
      <c r="F77" s="84">
        <f t="shared" si="11"/>
        <v>1.2305203794241817</v>
      </c>
      <c r="G77" s="87">
        <f t="shared" si="12"/>
        <v>342.5080966871387</v>
      </c>
      <c r="H77" s="89">
        <f t="shared" si="13"/>
        <v>2.7596385439272266</v>
      </c>
      <c r="I77" s="89">
        <f t="shared" si="14"/>
        <v>3.021553457628545</v>
      </c>
      <c r="J77" s="57">
        <f>E77*E$29/E$30</f>
        <v>0.7555385478245749</v>
      </c>
      <c r="K77" s="11">
        <f>L$33*E$14/120*F77^2/E$8*E$7*E$10*(E$10-1)*E$5/E$6</f>
        <v>93.32337458105171</v>
      </c>
      <c r="L77" s="11">
        <f>L$34*E$14/6*F77^2/E$9*E$7*E$5/E$6*(1+(G77*E$5/F77)^2/15)</f>
        <v>3904.2641043095405</v>
      </c>
      <c r="M77" s="15">
        <f>L$35*E$14/8*H77^2/E$9*E$7*E$6/E$5</f>
        <v>94.22804370825564</v>
      </c>
      <c r="N77" s="11">
        <f>E$14*E$15*(E$12/E$11)^2*J77*(1-E$33)/E$34^2*(E$20/2/PI())^2/E$19*LN((E$18+E$19*J77)/(E$18+E$19*E$33*J77))</f>
        <v>9838.23352856764</v>
      </c>
      <c r="O77" s="11">
        <f t="shared" si="15"/>
        <v>15062.845049679847</v>
      </c>
      <c r="P77" s="11">
        <f t="shared" si="16"/>
        <v>14.287851615897154</v>
      </c>
      <c r="Q77" s="123">
        <f t="shared" si="17"/>
        <v>29007.18195246223</v>
      </c>
      <c r="R77" s="91">
        <f>Q77*J$29*(A77-A76)</f>
        <v>0.2833440250891399</v>
      </c>
      <c r="S77" s="28"/>
      <c r="T77" s="79">
        <f>SQRT(($B77-$C77*0.8*$E$5)^2+$D77^2)*$E$29/$E$30</f>
        <v>0.941843153649664</v>
      </c>
      <c r="U77" s="80">
        <f>SQRT(($B77-$C77*0.4*$E$5)^2+$D77^2)*$E$29/$E$30</f>
        <v>0.8373630336707237</v>
      </c>
      <c r="V77" s="80">
        <f>SQRT(($B77)^2+$D77^2)*$E$29/$E$30</f>
        <v>0.7555385478245749</v>
      </c>
      <c r="W77" s="80">
        <f>SQRT(($B77+$C77*0.4*$E$5)^2+$D77^2)*$E$29/$E$30</f>
        <v>0.7043106327101939</v>
      </c>
      <c r="X77" s="81">
        <f>SQRT(($B77+$C77*0.8*$E$5)^2+$D77^2)*$E$29/$E$30</f>
        <v>0.6905228167537526</v>
      </c>
      <c r="Y77" s="82">
        <f>$L$36*$E$14*$E$15*$E$17/$E$34*2/3*$E$21/PI()*($E$22*$E$23*LN((T77+$E$23)/($E$33*T77+$E$23))+$E$24*T77*(1-$E$33)+$E$25*T77^2/2*(1-$E$33^2))</f>
        <v>16786.929614768138</v>
      </c>
      <c r="Z77" s="82">
        <f>$L$36*$E$14*$E$15*$E$17/$E$34*2/3*$E$21/PI()*($E$22*$E$23*LN((U77+$E$23)/($E$33*U77+$E$23))+$E$24*U77*(1-$E$33)+$E$25*U77^2/2*(1-$E$33^2))</f>
        <v>15671.181565975388</v>
      </c>
      <c r="AA77" s="82">
        <f>$L$36*$E$14*$E$15*$E$17/$E$34*2/3*$E$21/PI()*($E$22*$E$23*LN((V77+$E$23)/($E$33*V77+$E$23))+$E$24*V77*(1-$E$33)+$E$25*V77^2/2*(1-$E$33^2))</f>
        <v>14745.412965869495</v>
      </c>
      <c r="AB77" s="82">
        <f>$L$36*$E$14*$E$15*$E$17/$E$34*2/3*$E$21/PI()*($E$22*$E$23*LN((W77+$E$23)/($E$33*W77+$E$23))+$E$24*W77*(1-$E$33)+$E$25*W77^2/2*(1-$E$33^2))</f>
        <v>14138.918773053267</v>
      </c>
      <c r="AC77" s="82">
        <f>$L$36*$E$14*$E$15*$E$17/$E$34*2/3*$E$21/PI()*($E$22*$E$23*LN((X77+$E$23)/($E$33*X77+$E$23))+$E$24*X77*(1-$E$33)+$E$25*X77^2/2*(1-$E$33^2))</f>
        <v>13971.78232873294</v>
      </c>
      <c r="AD77" s="72">
        <f>1/9/PI()*$E$21/$E$34*$E$28^2*T77*(3*T77+4*$E$27)/($E$26*$E$27*$E$14*$E$15*$E$17*16*$E$5^2*$E$6^2)</f>
        <v>18.816752867895346</v>
      </c>
      <c r="AE77" s="73">
        <f>1/9/PI()*$E$21/$E$34*$E$28^2*U77*(3*U77+4*$E$27)/($E$26*$E$27*$E$14*$E$15*$E$17*16*$E$5^2*$E$6^2)</f>
        <v>15.642730969089486</v>
      </c>
      <c r="AF77" s="73">
        <f>1/9/PI()*$E$21/$E$34*$E$28^2*V77*(3*V77+4*$E$27)/($E$26*$E$27*$E$14*$E$15*$E$17*16*$E$5^2*$E$6^2)</f>
        <v>13.346311989715788</v>
      </c>
      <c r="AG77" s="73">
        <f>1/9/PI()*$E$21/$E$34*$E$28^2*W77*(3*W77+4*$E$27)/($E$26*$E$27*$E$14*$E$15*$E$17*16*$E$5^2*$E$6^2)</f>
        <v>11.993250031427706</v>
      </c>
      <c r="AH77" s="74">
        <f>1/9/PI()*$E$21/$E$34*$E$28^2*X77*(3*X77+4*$E$27)/($E$26*$E$27*$E$14*$E$15*$E$17*16*$E$5^2*$E$6^2)</f>
        <v>11.640212221357439</v>
      </c>
      <c r="AI77" s="28"/>
      <c r="BX77"/>
    </row>
    <row r="78" spans="2:76" ht="6.75" customHeight="1">
      <c r="B78" s="4"/>
      <c r="D78" s="4"/>
      <c r="E78" s="4"/>
      <c r="F78" s="84"/>
      <c r="G78" s="87"/>
      <c r="H78" s="89"/>
      <c r="I78" s="89"/>
      <c r="J78" s="57"/>
      <c r="L78" s="11"/>
      <c r="M78" s="15"/>
      <c r="N78" s="11"/>
      <c r="O78" s="11"/>
      <c r="P78" s="11"/>
      <c r="Q78" s="123"/>
      <c r="R78" s="91"/>
      <c r="S78" s="28"/>
      <c r="T78" s="79"/>
      <c r="U78" s="80"/>
      <c r="V78" s="80"/>
      <c r="W78" s="80"/>
      <c r="X78" s="81"/>
      <c r="Y78" s="82"/>
      <c r="Z78" s="82"/>
      <c r="AA78" s="82"/>
      <c r="AB78" s="82"/>
      <c r="AC78" s="82"/>
      <c r="AD78" s="64"/>
      <c r="AE78" s="65"/>
      <c r="AF78" s="65"/>
      <c r="AG78" s="65"/>
      <c r="AH78" s="66"/>
      <c r="AI78" s="28"/>
      <c r="BX78"/>
    </row>
    <row r="79" spans="1:76" ht="16.5">
      <c r="A79" s="15">
        <f>I26</f>
        <v>41.284249216564326</v>
      </c>
      <c r="B79" s="4">
        <v>-0.6091989960299014</v>
      </c>
      <c r="C79" s="11">
        <v>165.1876539783805</v>
      </c>
      <c r="D79" s="4">
        <v>-0.9962057691997916</v>
      </c>
      <c r="E79" s="4">
        <f aca="true" t="shared" si="19" ref="E79:E93">SQRT(B79^2+D79^2)</f>
        <v>1.1677111592130942</v>
      </c>
      <c r="F79" s="84">
        <f aca="true" t="shared" si="20" ref="F79:F93">-B79*$E$29*(1-$E$33)/$E$30/$E$34</f>
        <v>1.1486193655996253</v>
      </c>
      <c r="G79" s="87">
        <f aca="true" t="shared" si="21" ref="G79:G93">C79*$E$29*(1-$E$33)/$E$30/$E$34</f>
        <v>311.45445011243083</v>
      </c>
      <c r="H79" s="89">
        <f aca="true" t="shared" si="22" ref="H79:H93">-D79*$E$29*(1-$E$33)/$E$30/$E$34</f>
        <v>1.8783045377323433</v>
      </c>
      <c r="I79" s="89">
        <f aca="true" t="shared" si="23" ref="I79:I93">E79*$E$29*(1-$E$33)/$E$30/$E$34</f>
        <v>2.2016708163339036</v>
      </c>
      <c r="J79" s="57">
        <f>E79*E$29/E$30</f>
        <v>0.5505271360203615</v>
      </c>
      <c r="K79" s="11">
        <f>L$33*E$14/120*F79^2/E$8*E$7*E$10*(E$10-1)*E$5/E$6</f>
        <v>81.31395431559245</v>
      </c>
      <c r="L79" s="11">
        <f>L$34*E$14/6*F79^2/E$9*E$7*E$5/E$6*(1+(G79*E$5/F79)^2/15)</f>
        <v>3382.9461211639873</v>
      </c>
      <c r="M79" s="15">
        <f>L$35*E$14/8*H79^2/E$9*E$7*E$6/E$5</f>
        <v>43.65236580238055</v>
      </c>
      <c r="N79" s="11">
        <f>E$14*E$15*(E$12/E$11)^2*J79*(1-E$33)/E$34^2*(E$20/2/PI())^2/E$19*LN((E$18+E$19*J79)/(E$18+E$19*E$33*J79))</f>
        <v>5512.029220809064</v>
      </c>
      <c r="O79" s="11">
        <f aca="true" t="shared" si="24" ref="O79:O93">(Y79+Z79+AA79+AB79+AC79)/5</f>
        <v>12517.048560584057</v>
      </c>
      <c r="P79" s="11">
        <f aca="true" t="shared" si="25" ref="P79:P93">(AD79+AE79+AF79+AG79+AH79)/5</f>
        <v>9.148270609549911</v>
      </c>
      <c r="Q79" s="123">
        <f aca="true" t="shared" si="26" ref="Q79:Q93">SUM(K79:P79)</f>
        <v>21546.13849328463</v>
      </c>
      <c r="R79" s="91">
        <f>Q79*J$29*(A80-A79)</f>
        <v>0.12165945888390589</v>
      </c>
      <c r="S79" s="28"/>
      <c r="T79" s="79">
        <f>SQRT(($B79-$C79*0.8*$E$5)^2+$D79^2)*$E$29/$E$30</f>
        <v>0.7543633222993228</v>
      </c>
      <c r="U79" s="80">
        <f>SQRT(($B79-$C79*0.4*$E$5)^2+$D79^2)*$E$29/$E$30</f>
        <v>0.6427315530627186</v>
      </c>
      <c r="V79" s="80">
        <f>SQRT(($B79)^2+$D79^2)*$E$29/$E$30</f>
        <v>0.5505271360203615</v>
      </c>
      <c r="W79" s="80">
        <f>SQRT(($B79+$C79*0.4*$E$5)^2+$D79^2)*$E$29/$E$30</f>
        <v>0.48886895647767814</v>
      </c>
      <c r="X79" s="81">
        <f>SQRT(($B79+$C79*0.8*$E$5)^2+$D79^2)*$E$29/$E$30</f>
        <v>0.46993833280632813</v>
      </c>
      <c r="Y79" s="82">
        <f>$L$36*$E$14*$E$15*$E$17/$E$34*2/3*$E$21/PI()*($E$22*$E$23*LN((T79+$E$23)/($E$33*T79+$E$23))+$E$24*T79*(1-$E$33)+$E$25*T79^2/2*(1-$E$33^2))</f>
        <v>14731.744196125337</v>
      </c>
      <c r="Z79" s="82">
        <f>$L$36*$E$14*$E$15*$E$17/$E$34*2/3*$E$21/PI()*($E$22*$E$23*LN((U79+$E$23)/($E$33*U79+$E$23))+$E$24*U79*(1-$E$33)+$E$25*U79^2/2*(1-$E$33^2))</f>
        <v>13378.568563886649</v>
      </c>
      <c r="AA79" s="82">
        <f>$L$36*$E$14*$E$15*$E$17/$E$34*2/3*$E$21/PI()*($E$22*$E$23*LN((V79+$E$23)/($E$33*V79+$E$23))+$E$24*V79*(1-$E$33)+$E$25*V79^2/2*(1-$E$33^2))</f>
        <v>12165.33977326068</v>
      </c>
      <c r="AB79" s="82">
        <f>$L$36*$E$14*$E$15*$E$17/$E$34*2/3*$E$21/PI()*($E$22*$E$23*LN((W79+$E$23)/($E$33*W79+$E$23))+$E$24*W79*(1-$E$33)+$E$25*W79^2/2*(1-$E$33^2))</f>
        <v>11294.158781555067</v>
      </c>
      <c r="AC79" s="82">
        <f>$L$36*$E$14*$E$15*$E$17/$E$34*2/3*$E$21/PI()*($E$22*$E$23*LN((X79+$E$23)/($E$33*X79+$E$23))+$E$24*X79*(1-$E$33)+$E$25*X79^2/2*(1-$E$33^2))</f>
        <v>11015.431488092554</v>
      </c>
      <c r="AD79" s="72">
        <f>1/9/PI()*$E$21/$E$34*$E$28^2*T79*(3*T79+4*$E$27)/($E$26*$E$27*$E$14*$E$15*$E$17*16*$E$5^2*$E$6^2)</f>
        <v>13.314540619758802</v>
      </c>
      <c r="AE79" s="73">
        <f>1/9/PI()*$E$21/$E$34*$E$28^2*U79*(3*U79+4*$E$27)/($E$26*$E$27*$E$14*$E$15*$E$17*16*$E$5^2*$E$6^2)</f>
        <v>10.45306729150574</v>
      </c>
      <c r="AF79" s="73">
        <f>1/9/PI()*$E$21/$E$34*$E$28^2*V79*(3*V79+4*$E$27)/($E$26*$E$27*$E$14*$E$15*$E$17*16*$E$5^2*$E$6^2)</f>
        <v>8.323018161617215</v>
      </c>
      <c r="AG79" s="73">
        <f>1/9/PI()*$E$21/$E$34*$E$28^2*W79*(3*W79+4*$E$27)/($E$26*$E$27*$E$14*$E$15*$E$17*16*$E$5^2*$E$6^2)</f>
        <v>7.0164620063054075</v>
      </c>
      <c r="AH79" s="74">
        <f>1/9/PI()*$E$21/$E$34*$E$28^2*X79*(3*X79+4*$E$27)/($E$26*$E$27*$E$14*$E$15*$E$17*16*$E$5^2*$E$6^2)</f>
        <v>6.6342649685623885</v>
      </c>
      <c r="AI79" s="28"/>
      <c r="BX79"/>
    </row>
    <row r="80" spans="1:76" ht="16.5">
      <c r="A80" s="18">
        <v>42</v>
      </c>
      <c r="B80" s="4">
        <v>-0.6036062565672307</v>
      </c>
      <c r="C80" s="11">
        <v>178.0405812419791</v>
      </c>
      <c r="D80" s="4">
        <v>-1.0020586485015945</v>
      </c>
      <c r="E80" s="4">
        <f t="shared" si="19"/>
        <v>1.1698128260554967</v>
      </c>
      <c r="F80" s="84">
        <f t="shared" si="20"/>
        <v>1.1380744879891223</v>
      </c>
      <c r="G80" s="87">
        <f t="shared" si="21"/>
        <v>335.6881098128288</v>
      </c>
      <c r="H80" s="89">
        <f t="shared" si="22"/>
        <v>1.8893398981882523</v>
      </c>
      <c r="I80" s="89">
        <f t="shared" si="23"/>
        <v>2.2056334217402718</v>
      </c>
      <c r="J80" s="57">
        <f>E80*E$29/E$30</f>
        <v>0.5515179843294558</v>
      </c>
      <c r="K80" s="11">
        <f>L$33*E$14/120*F80^2/E$8*E$7*E$10*(E$10-1)*E$5/E$6</f>
        <v>79.82780522194564</v>
      </c>
      <c r="L80" s="11">
        <f>L$34*E$14/6*F80^2/E$9*E$7*E$5/E$6*(1+(G80*E$5/F80)^2/15)</f>
        <v>3384.3991915385523</v>
      </c>
      <c r="M80" s="15">
        <f>L$35*E$14/8*H80^2/E$9*E$7*E$6/E$5</f>
        <v>44.166802811052364</v>
      </c>
      <c r="N80" s="11">
        <f>E$14*E$15*(E$12/E$11)^2*J80*(1-E$33)/E$34^2*(E$20/2/PI())^2/E$19*LN((E$18+E$19*J80)/(E$18+E$19*E$33*J80))</f>
        <v>5530.388150835943</v>
      </c>
      <c r="O80" s="11">
        <f t="shared" si="24"/>
        <v>12592.354791167241</v>
      </c>
      <c r="P80" s="11">
        <f t="shared" si="25"/>
        <v>9.304904058471795</v>
      </c>
      <c r="Q80" s="123">
        <f t="shared" si="26"/>
        <v>21640.441645633207</v>
      </c>
      <c r="R80" s="91">
        <f aca="true" t="shared" si="27" ref="R80:R92">Q80*J$29</f>
        <v>0.1707185530313058</v>
      </c>
      <c r="S80" s="28"/>
      <c r="T80" s="79">
        <f>SQRT(($B80-$C80*0.8*$E$5)^2+$D80^2)*$E$29/$E$30</f>
        <v>0.7725500184461415</v>
      </c>
      <c r="U80" s="80">
        <f>SQRT(($B80-$C80*0.4*$E$5)^2+$D80^2)*$E$29/$E$30</f>
        <v>0.6510155963702557</v>
      </c>
      <c r="V80" s="80">
        <f>SQRT(($B80)^2+$D80^2)*$E$29/$E$30</f>
        <v>0.5515179843294558</v>
      </c>
      <c r="W80" s="80">
        <f>SQRT(($B80+$C80*0.4*$E$5)^2+$D80^2)*$E$29/$E$30</f>
        <v>0.48773545284882847</v>
      </c>
      <c r="X80" s="81">
        <f>SQRT(($B80+$C80*0.8*$E$5)^2+$D80^2)*$E$29/$E$30</f>
        <v>0.47430228915513106</v>
      </c>
      <c r="Y80" s="82">
        <f>$L$36*$E$14*$E$15*$E$17/$E$34*2/3*$E$21/PI()*($E$22*$E$23*LN((T80+$E$23)/($E$33*T80+$E$23))+$E$24*T80*(1-$E$33)+$E$25*T80^2/2*(1-$E$33^2))</f>
        <v>14942.039441278046</v>
      </c>
      <c r="Z80" s="82">
        <f>$L$36*$E$14*$E$15*$E$17/$E$34*2/3*$E$21/PI()*($E$22*$E$23*LN((U80+$E$23)/($E$33*U80+$E$23))+$E$24*U80*(1-$E$33)+$E$25*U80^2/2*(1-$E$33^2))</f>
        <v>13483.001596809683</v>
      </c>
      <c r="AA80" s="82">
        <f>$L$36*$E$14*$E$15*$E$17/$E$34*2/3*$E$21/PI()*($E$22*$E$23*LN((V80+$E$23)/($E$33*V80+$E$23))+$E$24*V80*(1-$E$33)+$E$25*V80^2/2*(1-$E$33^2))</f>
        <v>12178.91604963942</v>
      </c>
      <c r="AB80" s="82">
        <f>$L$36*$E$14*$E$15*$E$17/$E$34*2/3*$E$21/PI()*($E$22*$E$23*LN((W80+$E$23)/($E$33*W80+$E$23))+$E$24*W80*(1-$E$33)+$E$25*W80^2/2*(1-$E$33^2))</f>
        <v>11277.627504200847</v>
      </c>
      <c r="AC80" s="82">
        <f>$L$36*$E$14*$E$15*$E$17/$E$34*2/3*$E$21/PI()*($E$22*$E$23*LN((X80+$E$23)/($E$33*X80+$E$23))+$E$24*X80*(1-$E$33)+$E$25*X80^2/2*(1-$E$33^2))</f>
        <v>11080.189363908215</v>
      </c>
      <c r="AD80" s="72">
        <f>1/9/PI()*$E$21/$E$34*$E$28^2*T80*(3*T80+4*$E$27)/($E$26*$E$27*$E$14*$E$15*$E$17*16*$E$5^2*$E$6^2)</f>
        <v>13.810047477384568</v>
      </c>
      <c r="AE80" s="73">
        <f>1/9/PI()*$E$21/$E$34*$E$28^2*U80*(3*U80+4*$E$27)/($E$26*$E$27*$E$14*$E$15*$E$17*16*$E$5^2*$E$6^2)</f>
        <v>10.654779643980834</v>
      </c>
      <c r="AF80" s="73">
        <f>1/9/PI()*$E$21/$E$34*$E$28^2*V80*(3*V80+4*$E$27)/($E$26*$E$27*$E$14*$E$15*$E$17*16*$E$5^2*$E$6^2)</f>
        <v>8.344785564816538</v>
      </c>
      <c r="AG80" s="73">
        <f>1/9/PI()*$E$21/$E$34*$E$28^2*W80*(3*W80+4*$E$27)/($E$26*$E$27*$E$14*$E$15*$E$17*16*$E$5^2*$E$6^2)</f>
        <v>6.993326739884781</v>
      </c>
      <c r="AH80" s="74">
        <f>1/9/PI()*$E$21/$E$34*$E$28^2*X80*(3*X80+4*$E$27)/($E$26*$E$27*$E$14*$E$15*$E$17*16*$E$5^2*$E$6^2)</f>
        <v>6.721580866292256</v>
      </c>
      <c r="AI80" s="28"/>
      <c r="BX80"/>
    </row>
    <row r="81" spans="1:76" ht="16.5">
      <c r="A81" s="18">
        <v>43</v>
      </c>
      <c r="B81" s="4">
        <v>-0.5973385358568848</v>
      </c>
      <c r="C81" s="11">
        <v>186.95603637908826</v>
      </c>
      <c r="D81" s="4">
        <v>-1.0854266139488287</v>
      </c>
      <c r="E81" s="4">
        <f t="shared" si="19"/>
        <v>1.2389367460399527</v>
      </c>
      <c r="F81" s="84">
        <f t="shared" si="20"/>
        <v>1.126256961313947</v>
      </c>
      <c r="G81" s="87">
        <f t="shared" si="21"/>
        <v>352.4978296094052</v>
      </c>
      <c r="H81" s="89">
        <f t="shared" si="22"/>
        <v>2.0465267291045555</v>
      </c>
      <c r="I81" s="89">
        <f t="shared" si="23"/>
        <v>2.3359636974592557</v>
      </c>
      <c r="J81" s="57">
        <f>E81*E$29/E$30</f>
        <v>0.584107031200591</v>
      </c>
      <c r="K81" s="11">
        <f>L$33*E$14/120*F81^2/E$8*E$7*E$10*(E$10-1)*E$5/E$6</f>
        <v>78.17858214574588</v>
      </c>
      <c r="L81" s="11">
        <f>L$34*E$14/6*F81^2/E$9*E$7*E$5/E$6*(1+(G81*E$5/F81)^2/15)</f>
        <v>3364.8569543952176</v>
      </c>
      <c r="M81" s="15">
        <f>L$35*E$14/8*H81^2/E$9*E$7*E$6/E$5</f>
        <v>51.8215755561713</v>
      </c>
      <c r="N81" s="11">
        <f>E$14*E$15*(E$12/E$11)^2*J81*(1-E$33)/E$34^2*(E$20/2/PI())^2/E$19*LN((E$18+E$19*J81)/(E$18+E$19*E$33*J81))</f>
        <v>6148.582549802288</v>
      </c>
      <c r="O81" s="11">
        <f t="shared" si="24"/>
        <v>13061.809660364768</v>
      </c>
      <c r="P81" s="11">
        <f t="shared" si="25"/>
        <v>10.125546142251391</v>
      </c>
      <c r="Q81" s="123">
        <f t="shared" si="26"/>
        <v>22715.374868406445</v>
      </c>
      <c r="R81" s="91">
        <f t="shared" si="27"/>
        <v>0.17919855761726375</v>
      </c>
      <c r="S81" s="28"/>
      <c r="T81" s="79">
        <f>SQRT(($B81-$C81*0.8*$E$5)^2+$D81^2)*$E$29/$E$30</f>
        <v>0.8075160574233163</v>
      </c>
      <c r="U81" s="80">
        <f>SQRT(($B81-$C81*0.4*$E$5)^2+$D81^2)*$E$29/$E$30</f>
        <v>0.6835283620205447</v>
      </c>
      <c r="V81" s="80">
        <f>SQRT(($B81)^2+$D81^2)*$E$29/$E$30</f>
        <v>0.584107031200591</v>
      </c>
      <c r="W81" s="80">
        <f>SQRT(($B81+$C81*0.4*$E$5)^2+$D81^2)*$E$29/$E$30</f>
        <v>0.5234426326073708</v>
      </c>
      <c r="X81" s="81">
        <f>SQRT(($B81+$C81*0.8*$E$5)^2+$D81^2)*$E$29/$E$30</f>
        <v>0.5154071389546216</v>
      </c>
      <c r="Y81" s="82">
        <f>$L$36*$E$14*$E$15*$E$17/$E$34*2/3*$E$21/PI()*($E$22*$E$23*LN((T81+$E$23)/($E$33*T81+$E$23))+$E$24*T81*(1-$E$33)+$E$25*T81^2/2*(1-$E$33^2))</f>
        <v>15339.212019598133</v>
      </c>
      <c r="Z81" s="82">
        <f>$L$36*$E$14*$E$15*$E$17/$E$34*2/3*$E$21/PI()*($E$22*$E$23*LN((U81+$E$23)/($E$33*U81+$E$23))+$E$24*U81*(1-$E$33)+$E$25*U81^2/2*(1-$E$33^2))</f>
        <v>13886.329943640558</v>
      </c>
      <c r="AA81" s="82">
        <f>$L$36*$E$14*$E$15*$E$17/$E$34*2/3*$E$21/PI()*($E$22*$E$23*LN((V81+$E$23)/($E$33*V81+$E$23))+$E$24*V81*(1-$E$33)+$E$25*V81^2/2*(1-$E$33^2))</f>
        <v>12618.593152318075</v>
      </c>
      <c r="AB81" s="82">
        <f>$L$36*$E$14*$E$15*$E$17/$E$34*2/3*$E$21/PI()*($E$22*$E$23*LN((W81+$E$23)/($E$33*W81+$E$23))+$E$24*W81*(1-$E$33)+$E$25*W81^2/2*(1-$E$33^2))</f>
        <v>11789.214756185374</v>
      </c>
      <c r="AC81" s="82">
        <f>$L$36*$E$14*$E$15*$E$17/$E$34*2/3*$E$21/PI()*($E$22*$E$23*LN((X81+$E$23)/($E$33*X81+$E$23))+$E$24*X81*(1-$E$33)+$E$25*X81^2/2*(1-$E$33^2))</f>
        <v>11675.6984300817</v>
      </c>
      <c r="AD81" s="72">
        <f>1/9/PI()*$E$21/$E$34*$E$28^2*T81*(3*T81+4*$E$27)/($E$26*$E$27*$E$14*$E$15*$E$17*16*$E$5^2*$E$6^2)</f>
        <v>14.785801231872826</v>
      </c>
      <c r="AE81" s="73">
        <f>1/9/PI()*$E$21/$E$34*$E$28^2*U81*(3*U81+4*$E$27)/($E$26*$E$27*$E$14*$E$15*$E$17*16*$E$5^2*$E$6^2)</f>
        <v>11.462924276646488</v>
      </c>
      <c r="AF81" s="73">
        <f>1/9/PI()*$E$21/$E$34*$E$28^2*V81*(3*V81+4*$E$27)/($E$26*$E$27*$E$14*$E$15*$E$17*16*$E$5^2*$E$6^2)</f>
        <v>9.07430877949441</v>
      </c>
      <c r="AG81" s="73">
        <f>1/9/PI()*$E$21/$E$34*$E$28^2*W81*(3*W81+4*$E$27)/($E$26*$E$27*$E$14*$E$15*$E$17*16*$E$5^2*$E$6^2)</f>
        <v>7.737458263552482</v>
      </c>
      <c r="AH81" s="74">
        <f>1/9/PI()*$E$21/$E$34*$E$28^2*X81*(3*X81+4*$E$27)/($E$26*$E$27*$E$14*$E$15*$E$17*16*$E$5^2*$E$6^2)</f>
        <v>7.567238159690755</v>
      </c>
      <c r="AI81" s="28"/>
      <c r="BX81"/>
    </row>
    <row r="82" spans="1:76" ht="16.5">
      <c r="A82" s="18">
        <v>44</v>
      </c>
      <c r="B82" s="4">
        <v>-0.5899700995025388</v>
      </c>
      <c r="C82" s="11">
        <v>192.78678151772814</v>
      </c>
      <c r="D82" s="4">
        <v>-1.1637762674259693</v>
      </c>
      <c r="E82" s="4">
        <f t="shared" si="19"/>
        <v>1.3047758117511823</v>
      </c>
      <c r="F82" s="84">
        <f t="shared" si="20"/>
        <v>1.112364081079498</v>
      </c>
      <c r="G82" s="87">
        <f t="shared" si="21"/>
        <v>363.49145702140584</v>
      </c>
      <c r="H82" s="89">
        <f t="shared" si="22"/>
        <v>2.194251741552617</v>
      </c>
      <c r="I82" s="89">
        <f t="shared" si="23"/>
        <v>2.4601005170891956</v>
      </c>
      <c r="J82" s="57">
        <f>E82*E$29/E$30</f>
        <v>0.615147406209669</v>
      </c>
      <c r="K82" s="11">
        <f>L$33*E$14/120*F82^2/E$8*E$7*E$10*(E$10-1)*E$5/E$6</f>
        <v>76.26174292660662</v>
      </c>
      <c r="L82" s="11">
        <f>L$34*E$14/6*F82^2/E$9*E$7*E$5/E$6*(1+(G82*E$5/F82)^2/15)</f>
        <v>3321.9358891786856</v>
      </c>
      <c r="M82" s="15">
        <f>L$35*E$14/8*H82^2/E$9*E$7*E$6/E$5</f>
        <v>59.572890662026715</v>
      </c>
      <c r="N82" s="11">
        <f>E$14*E$15*(E$12/E$11)^2*J82*(1-E$33)/E$34^2*(E$20/2/PI())^2/E$19*LN((E$18+E$19*J82)/(E$18+E$19*E$33*J82))</f>
        <v>6762.931377357301</v>
      </c>
      <c r="O82" s="11">
        <f t="shared" si="24"/>
        <v>13481.956641181745</v>
      </c>
      <c r="P82" s="11">
        <f t="shared" si="25"/>
        <v>10.903482966923786</v>
      </c>
      <c r="Q82" s="123">
        <f t="shared" si="26"/>
        <v>23713.56202427329</v>
      </c>
      <c r="R82" s="91">
        <f t="shared" si="27"/>
        <v>0.18707312273448765</v>
      </c>
      <c r="S82" s="28"/>
      <c r="T82" s="79">
        <f>SQRT(($B82-$C82*0.8*$E$5)^2+$D82^2)*$E$29/$E$30</f>
        <v>0.8368576663826162</v>
      </c>
      <c r="U82" s="80">
        <f>SQRT(($B82-$C82*0.4*$E$5)^2+$D82^2)*$E$29/$E$30</f>
        <v>0.712800265399363</v>
      </c>
      <c r="V82" s="80">
        <f>SQRT(($B82)^2+$D82^2)*$E$29/$E$30</f>
        <v>0.615147406209669</v>
      </c>
      <c r="W82" s="80">
        <f>SQRT(($B82+$C82*0.4*$E$5)^2+$D82^2)*$E$29/$E$30</f>
        <v>0.5579400441110149</v>
      </c>
      <c r="X82" s="81">
        <f>SQRT(($B82+$C82*0.8*$E$5)^2+$D82^2)*$E$29/$E$30</f>
        <v>0.5538560306810385</v>
      </c>
      <c r="Y82" s="82">
        <f>$L$36*$E$14*$E$15*$E$17/$E$34*2/3*$E$21/PI()*($E$22*$E$23*LN((T82+$E$23)/($E$33*T82+$E$23))+$E$24*T82*(1-$E$33)+$E$25*T82^2/2*(1-$E$33^2))</f>
        <v>15665.61265449025</v>
      </c>
      <c r="Z82" s="82">
        <f>$L$36*$E$14*$E$15*$E$17/$E$34*2/3*$E$21/PI()*($E$22*$E$23*LN((U82+$E$23)/($E$33*U82+$E$23))+$E$24*U82*(1-$E$33)+$E$25*U82^2/2*(1-$E$33^2))</f>
        <v>14240.982781165118</v>
      </c>
      <c r="AA82" s="82">
        <f>$L$36*$E$14*$E$15*$E$17/$E$34*2/3*$E$21/PI()*($E$22*$E$23*LN((V82+$E$23)/($E$33*V82+$E$23))+$E$24*V82*(1-$E$33)+$E$25*V82^2/2*(1-$E$33^2))</f>
        <v>13025.682337993203</v>
      </c>
      <c r="AB82" s="82">
        <f>$L$36*$E$14*$E$15*$E$17/$E$34*2/3*$E$21/PI()*($E$22*$E$23*LN((W82+$E$23)/($E$33*W82+$E$23))+$E$24*W82*(1-$E$33)+$E$25*W82^2/2*(1-$E$33^2))</f>
        <v>12266.604247198173</v>
      </c>
      <c r="AC82" s="82">
        <f>$L$36*$E$14*$E$15*$E$17/$E$34*2/3*$E$21/PI()*($E$22*$E$23*LN((X82+$E$23)/($E$33*X82+$E$23))+$E$24*X82*(1-$E$33)+$E$25*X82^2/2*(1-$E$33^2))</f>
        <v>12210.901185061979</v>
      </c>
      <c r="AD82" s="72">
        <f>1/9/PI()*$E$21/$E$34*$E$28^2*T82*(3*T82+4*$E$27)/($E$26*$E$27*$E$14*$E$15*$E$17*16*$E$5^2*$E$6^2)</f>
        <v>15.628037307813653</v>
      </c>
      <c r="AE82" s="73">
        <f>1/9/PI()*$E$21/$E$34*$E$28^2*U82*(3*U82+4*$E$27)/($E$26*$E$27*$E$14*$E$15*$E$17*16*$E$5^2*$E$6^2)</f>
        <v>12.21297663242737</v>
      </c>
      <c r="AF82" s="73">
        <f>1/9/PI()*$E$21/$E$34*$E$28^2*V82*(3*V82+4*$E$27)/($E$26*$E$27*$E$14*$E$15*$E$17*16*$E$5^2*$E$6^2)</f>
        <v>9.793695829064168</v>
      </c>
      <c r="AG82" s="73">
        <f>1/9/PI()*$E$21/$E$34*$E$28^2*W82*(3*W82+4*$E$27)/($E$26*$E$27*$E$14*$E$15*$E$17*16*$E$5^2*$E$6^2)</f>
        <v>8.486459571347227</v>
      </c>
      <c r="AH82" s="74">
        <f>1/9/PI()*$E$21/$E$34*$E$28^2*X82*(3*X82+4*$E$27)/($E$26*$E$27*$E$14*$E$15*$E$17*16*$E$5^2*$E$6^2)</f>
        <v>8.396245493966509</v>
      </c>
      <c r="AI82" s="28"/>
      <c r="BX82"/>
    </row>
    <row r="83" spans="1:76" ht="16.5">
      <c r="A83" s="18">
        <v>45</v>
      </c>
      <c r="B83" s="4">
        <v>-0.5820132667816189</v>
      </c>
      <c r="C83" s="11">
        <v>196.4470854530454</v>
      </c>
      <c r="D83" s="4">
        <v>-1.239075168627491</v>
      </c>
      <c r="E83" s="4">
        <f t="shared" si="19"/>
        <v>1.3689582594875043</v>
      </c>
      <c r="F83" s="84">
        <f t="shared" si="20"/>
        <v>1.0973618039719422</v>
      </c>
      <c r="G83" s="87">
        <f t="shared" si="21"/>
        <v>370.39280783039425</v>
      </c>
      <c r="H83" s="89">
        <f t="shared" si="22"/>
        <v>2.3362246874899664</v>
      </c>
      <c r="I83" s="89">
        <f t="shared" si="23"/>
        <v>2.58111385243932</v>
      </c>
      <c r="J83" s="57">
        <f>E83*E$29/E$30</f>
        <v>0.6454067548990017</v>
      </c>
      <c r="K83" s="11">
        <f>L$33*E$14/120*F83^2/E$8*E$7*E$10*(E$10-1)*E$5/E$6</f>
        <v>74.21855459722272</v>
      </c>
      <c r="L83" s="11">
        <f>L$34*E$14/6*F83^2/E$9*E$7*E$5/E$6*(1+(G83*E$5/F83)^2/15)</f>
        <v>3264.1301140724013</v>
      </c>
      <c r="M83" s="15">
        <f>L$35*E$14/8*H83^2/E$9*E$7*E$6/E$5</f>
        <v>67.53128106247547</v>
      </c>
      <c r="N83" s="11">
        <f>E$14*E$15*(E$12/E$11)^2*J83*(1-E$33)/E$34^2*(E$20/2/PI())^2/E$19*LN((E$18+E$19*J83)/(E$18+E$19*E$33*J83))</f>
        <v>7385.270534643194</v>
      </c>
      <c r="O83" s="11">
        <f t="shared" si="24"/>
        <v>13869.95560757125</v>
      </c>
      <c r="P83" s="11">
        <f t="shared" si="25"/>
        <v>11.662005984437982</v>
      </c>
      <c r="Q83" s="123">
        <f t="shared" si="26"/>
        <v>24672.768097930984</v>
      </c>
      <c r="R83" s="91">
        <f t="shared" si="27"/>
        <v>0.1946401713019426</v>
      </c>
      <c r="S83" s="28"/>
      <c r="T83" s="79">
        <f>SQRT(($B83-$C83*0.8*$E$5)^2+$D83^2)*$E$29/$E$30</f>
        <v>0.8627299829078168</v>
      </c>
      <c r="U83" s="80">
        <f>SQRT(($B83-$C83*0.4*$E$5)^2+$D83^2)*$E$29/$E$30</f>
        <v>0.7402316555390058</v>
      </c>
      <c r="V83" s="80">
        <f>SQRT(($B83)^2+$D83^2)*$E$29/$E$30</f>
        <v>0.6454067548990017</v>
      </c>
      <c r="W83" s="80">
        <f>SQRT(($B83+$C83*0.4*$E$5)^2+$D83^2)*$E$29/$E$30</f>
        <v>0.5917127255939741</v>
      </c>
      <c r="X83" s="81">
        <f>SQRT(($B83+$C83*0.8*$E$5)^2+$D83^2)*$E$29/$E$30</f>
        <v>0.5904787167576716</v>
      </c>
      <c r="Y83" s="82">
        <f>$L$36*$E$14*$E$15*$E$17/$E$34*2/3*$E$21/PI()*($E$22*$E$23*LN((T83+$E$23)/($E$33*T83+$E$23))+$E$24*T83*(1-$E$33)+$E$25*T83^2/2*(1-$E$33^2))</f>
        <v>15948.487825300639</v>
      </c>
      <c r="Z83" s="82">
        <f>$L$36*$E$14*$E$15*$E$17/$E$34*2/3*$E$21/PI()*($E$22*$E$23*LN((U83+$E$23)/($E$33*U83+$E$23))+$E$24*U83*(1-$E$33)+$E$25*U83^2/2*(1-$E$33^2))</f>
        <v>14566.503561961776</v>
      </c>
      <c r="AA83" s="82">
        <f>$L$36*$E$14*$E$15*$E$17/$E$34*2/3*$E$21/PI()*($E$22*$E$23*LN((V83+$E$23)/($E$33*V83+$E$23))+$E$24*V83*(1-$E$33)+$E$25*V83^2/2*(1-$E$33^2))</f>
        <v>13412.36977850256</v>
      </c>
      <c r="AB83" s="82">
        <f>$L$36*$E$14*$E$15*$E$17/$E$34*2/3*$E$21/PI()*($E$22*$E$23*LN((W83+$E$23)/($E$33*W83+$E$23))+$E$24*W83*(1-$E$33)+$E$25*W83^2/2*(1-$E$33^2))</f>
        <v>12719.360101894448</v>
      </c>
      <c r="AC83" s="82">
        <f>$L$36*$E$14*$E$15*$E$17/$E$34*2/3*$E$21/PI()*($E$22*$E$23*LN((X83+$E$23)/($E$33*X83+$E$23))+$E$24*X83*(1-$E$33)+$E$25*X83^2/2*(1-$E$33^2))</f>
        <v>12703.056770196821</v>
      </c>
      <c r="AD83" s="72">
        <f>1/9/PI()*$E$21/$E$34*$E$28^2*T83*(3*T83+4*$E$27)/($E$26*$E$27*$E$14*$E$15*$E$17*16*$E$5^2*$E$6^2)</f>
        <v>16.38843206551108</v>
      </c>
      <c r="AE83" s="73">
        <f>1/9/PI()*$E$21/$E$34*$E$28^2*U83*(3*U83+4*$E$27)/($E$26*$E$27*$E$14*$E$15*$E$17*16*$E$5^2*$E$6^2)</f>
        <v>12.935187977690825</v>
      </c>
      <c r="AF83" s="73">
        <f>1/9/PI()*$E$21/$E$34*$E$28^2*V83*(3*V83+4*$E$27)/($E$26*$E$27*$E$14*$E$15*$E$17*16*$E$5^2*$E$6^2)</f>
        <v>10.518020763198775</v>
      </c>
      <c r="AG83" s="73">
        <f>1/9/PI()*$E$21/$E$34*$E$28^2*W83*(3*W83+4*$E$27)/($E$26*$E$27*$E$14*$E$15*$E$17*16*$E$5^2*$E$6^2)</f>
        <v>9.248363395916634</v>
      </c>
      <c r="AH83" s="74">
        <f>1/9/PI()*$E$21/$E$34*$E$28^2*X83*(3*X83+4*$E$27)/($E$26*$E$27*$E$14*$E$15*$E$17*16*$E$5^2*$E$6^2)</f>
        <v>9.220025719872597</v>
      </c>
      <c r="AI83" s="28"/>
      <c r="BX83"/>
    </row>
    <row r="84" spans="1:76" ht="16.5">
      <c r="A84" s="18">
        <v>46</v>
      </c>
      <c r="B84" s="4">
        <v>-0.5731696417058778</v>
      </c>
      <c r="C84" s="11">
        <v>198.3951260814957</v>
      </c>
      <c r="D84" s="4">
        <v>-1.3126336149754054</v>
      </c>
      <c r="E84" s="4">
        <f t="shared" si="19"/>
        <v>1.4323164613089683</v>
      </c>
      <c r="F84" s="84">
        <f t="shared" si="20"/>
        <v>1.0806875167680938</v>
      </c>
      <c r="G84" s="87">
        <f t="shared" si="21"/>
        <v>374.0657574008875</v>
      </c>
      <c r="H84" s="89">
        <f t="shared" si="22"/>
        <v>2.4749160782001516</v>
      </c>
      <c r="I84" s="89">
        <f t="shared" si="23"/>
        <v>2.7005731064038994</v>
      </c>
      <c r="J84" s="57">
        <f>E84*E$29/E$30</f>
        <v>0.6752775059978231</v>
      </c>
      <c r="K84" s="11">
        <f>L$33*E$14/120*F84^2/E$8*E$7*E$10*(E$10-1)*E$5/E$6</f>
        <v>71.98020560427048</v>
      </c>
      <c r="L84" s="11">
        <f>L$34*E$14/6*F84^2/E$9*E$7*E$5/E$6*(1+(G84*E$5/F84)^2/15)</f>
        <v>3190.600419683844</v>
      </c>
      <c r="M84" s="15">
        <f>L$35*E$14/8*H84^2/E$9*E$7*E$6/E$5</f>
        <v>75.78735050698347</v>
      </c>
      <c r="N84" s="11">
        <f>E$14*E$15*(E$12/E$11)^2*J84*(1-E$33)/E$34^2*(E$20/2/PI())^2/E$19*LN((E$18+E$19*J84)/(E$18+E$19*E$33*J84))</f>
        <v>8021.844499282816</v>
      </c>
      <c r="O84" s="11">
        <f t="shared" si="24"/>
        <v>14235.292691130215</v>
      </c>
      <c r="P84" s="11">
        <f t="shared" si="25"/>
        <v>12.413821343475984</v>
      </c>
      <c r="Q84" s="123">
        <f t="shared" si="26"/>
        <v>25607.918987551606</v>
      </c>
      <c r="R84" s="91">
        <f t="shared" si="27"/>
        <v>0.202017451736244</v>
      </c>
      <c r="S84" s="28"/>
      <c r="T84" s="79">
        <f>SQRT(($B84-$C84*0.8*$E$5)^2+$D84^2)*$E$29/$E$30</f>
        <v>0.8861538137639771</v>
      </c>
      <c r="U84" s="80">
        <f>SQRT(($B84-$C84*0.4*$E$5)^2+$D84^2)*$E$29/$E$30</f>
        <v>0.7664875516618178</v>
      </c>
      <c r="V84" s="80">
        <f>SQRT(($B84)^2+$D84^2)*$E$29/$E$30</f>
        <v>0.6752775059978231</v>
      </c>
      <c r="W84" s="80">
        <f>SQRT(($B84+$C84*0.4*$E$5)^2+$D84^2)*$E$29/$E$30</f>
        <v>0.6251065600445885</v>
      </c>
      <c r="X84" s="81">
        <f>SQRT(($B84+$C84*0.8*$E$5)^2+$D84^2)*$E$29/$E$30</f>
        <v>0.6259222561668051</v>
      </c>
      <c r="Y84" s="82">
        <f>$L$36*$E$14*$E$15*$E$17/$E$34*2/3*$E$21/PI()*($E$22*$E$23*LN((T84+$E$23)/($E$33*T84+$E$23))+$E$24*T84*(1-$E$33)+$E$25*T84^2/2*(1-$E$33^2))</f>
        <v>16200.786289599462</v>
      </c>
      <c r="Z84" s="82">
        <f>$L$36*$E$14*$E$15*$E$17/$E$34*2/3*$E$21/PI()*($E$22*$E$23*LN((U84+$E$23)/($E$33*U84+$E$23))+$E$24*U84*(1-$E$33)+$E$25*U84^2/2*(1-$E$33^2))</f>
        <v>14872.22841260945</v>
      </c>
      <c r="AA84" s="82">
        <f>$L$36*$E$14*$E$15*$E$17/$E$34*2/3*$E$21/PI()*($E$22*$E$23*LN((V84+$E$23)/($E$33*V84+$E$23))+$E$24*V84*(1-$E$33)+$E$25*V84^2/2*(1-$E$33^2))</f>
        <v>13784.939880402753</v>
      </c>
      <c r="AB84" s="82">
        <f>$L$36*$E$14*$E$15*$E$17/$E$34*2/3*$E$21/PI()*($E$22*$E$23*LN((W84+$E$23)/($E$33*W84+$E$23))+$E$24*W84*(1-$E$33)+$E$25*W84^2/2*(1-$E$33^2))</f>
        <v>13154.022285960014</v>
      </c>
      <c r="AC84" s="82">
        <f>$L$36*$E$14*$E$15*$E$17/$E$34*2/3*$E$21/PI()*($E$22*$E$23*LN((X84+$E$23)/($E$33*X84+$E$23))+$E$24*X84*(1-$E$33)+$E$25*X84^2/2*(1-$E$33^2))</f>
        <v>13164.486587079387</v>
      </c>
      <c r="AD84" s="72">
        <f>1/9/PI()*$E$21/$E$34*$E$28^2*T84*(3*T84+4*$E$27)/($E$26*$E$27*$E$14*$E$15*$E$17*16*$E$5^2*$E$6^2)</f>
        <v>17.09120724913192</v>
      </c>
      <c r="AE84" s="73">
        <f>1/9/PI()*$E$21/$E$34*$E$28^2*U84*(3*U84+4*$E$27)/($E$26*$E$27*$E$14*$E$15*$E$17*16*$E$5^2*$E$6^2)</f>
        <v>13.643959181652033</v>
      </c>
      <c r="AF84" s="73">
        <f>1/9/PI()*$E$21/$E$34*$E$28^2*V84*(3*V84+4*$E$27)/($E$26*$E$27*$E$14*$E$15*$E$17*16*$E$5^2*$E$6^2)</f>
        <v>11.255352765775372</v>
      </c>
      <c r="AG84" s="73">
        <f>1/9/PI()*$E$21/$E$34*$E$28^2*W84*(3*W84+4*$E$27)/($E$26*$E$27*$E$14*$E$15*$E$17*16*$E$5^2*$E$6^2)</f>
        <v>10.029579260994765</v>
      </c>
      <c r="AH84" s="74">
        <f>1/9/PI()*$E$21/$E$34*$E$28^2*X84*(3*X84+4*$E$27)/($E$26*$E$27*$E$14*$E$15*$E$17*16*$E$5^2*$E$6^2)</f>
        <v>10.049008259825827</v>
      </c>
      <c r="AI84" s="28"/>
      <c r="BX84"/>
    </row>
    <row r="85" spans="1:76" ht="16.5">
      <c r="A85" s="18">
        <v>47</v>
      </c>
      <c r="B85" s="4">
        <v>-0.5638422032320918</v>
      </c>
      <c r="C85" s="11">
        <v>198.77989350058206</v>
      </c>
      <c r="D85" s="4">
        <v>-1.3853539176118572</v>
      </c>
      <c r="E85" s="4">
        <f t="shared" si="19"/>
        <v>1.495701677203091</v>
      </c>
      <c r="F85" s="84">
        <f t="shared" si="20"/>
        <v>1.0631010195278656</v>
      </c>
      <c r="G85" s="87">
        <f t="shared" si="21"/>
        <v>374.7912203640482</v>
      </c>
      <c r="H85" s="89">
        <f t="shared" si="22"/>
        <v>2.6120271838074136</v>
      </c>
      <c r="I85" s="89">
        <f t="shared" si="23"/>
        <v>2.8200832942787475</v>
      </c>
      <c r="J85" s="57">
        <f>E85*E$29/E$30</f>
        <v>0.7051609931058329</v>
      </c>
      <c r="K85" s="11">
        <f>L$33*E$14/120*F85^2/E$8*E$7*E$10*(E$10-1)*E$5/E$6</f>
        <v>69.65653745264518</v>
      </c>
      <c r="L85" s="11">
        <f>L$34*E$14/6*F85^2/E$9*E$7*E$5/E$6*(1+(G85*E$5/F85)^2/15)</f>
        <v>3105.946715067098</v>
      </c>
      <c r="M85" s="15">
        <f>L$35*E$14/8*H85^2/E$9*E$7*E$6/E$5</f>
        <v>84.4172412409406</v>
      </c>
      <c r="N85" s="11">
        <f>E$14*E$15*(E$12/E$11)^2*J85*(1-E$33)/E$34^2*(E$20/2/PI())^2/E$19*LN((E$18+E$19*J85)/(E$18+E$19*E$33*J85))</f>
        <v>8680.33546029083</v>
      </c>
      <c r="O85" s="11">
        <f t="shared" si="24"/>
        <v>14585.020897813234</v>
      </c>
      <c r="P85" s="11">
        <f t="shared" si="25"/>
        <v>13.16991562689336</v>
      </c>
      <c r="Q85" s="123">
        <f t="shared" si="26"/>
        <v>26538.546767491644</v>
      </c>
      <c r="R85" s="91">
        <f t="shared" si="27"/>
        <v>0.2093590499625519</v>
      </c>
      <c r="S85" s="28"/>
      <c r="T85" s="79">
        <f>SQRT(($B85-$C85*0.8*$E$5)^2+$D85^2)*$E$29/$E$30</f>
        <v>0.9078596099744936</v>
      </c>
      <c r="U85" s="80">
        <f>SQRT(($B85-$C85*0.4*$E$5)^2+$D85^2)*$E$29/$E$30</f>
        <v>0.7921306311202876</v>
      </c>
      <c r="V85" s="80">
        <f>SQRT(($B85)^2+$D85^2)*$E$29/$E$30</f>
        <v>0.7051609931058329</v>
      </c>
      <c r="W85" s="80">
        <f>SQRT(($B85+$C85*0.4*$E$5)^2+$D85^2)*$E$29/$E$30</f>
        <v>0.658446914898975</v>
      </c>
      <c r="X85" s="81">
        <f>SQRT(($B85+$C85*0.8*$E$5)^2+$D85^2)*$E$29/$E$30</f>
        <v>0.6605844967791367</v>
      </c>
      <c r="Y85" s="82">
        <f>$L$36*$E$14*$E$15*$E$17/$E$34*2/3*$E$21/PI()*($E$22*$E$23*LN((T85+$E$23)/($E$33*T85+$E$23))+$E$24*T85*(1-$E$33)+$E$25*T85^2/2*(1-$E$33^2))</f>
        <v>16431.479464071228</v>
      </c>
      <c r="Z85" s="82">
        <f>$L$36*$E$14*$E$15*$E$17/$E$34*2/3*$E$21/PI()*($E$22*$E$23*LN((U85+$E$23)/($E$33*U85+$E$23))+$E$24*U85*(1-$E$33)+$E$25*U85^2/2*(1-$E$33^2))</f>
        <v>15165.582078638055</v>
      </c>
      <c r="AA85" s="82">
        <f>$L$36*$E$14*$E$15*$E$17/$E$34*2/3*$E$21/PI()*($E$22*$E$23*LN((V85+$E$23)/($E$33*V85+$E$23))+$E$24*V85*(1-$E$33)+$E$25*V85^2/2*(1-$E$33^2))</f>
        <v>14149.17078209532</v>
      </c>
      <c r="AB85" s="82">
        <f>$L$36*$E$14*$E$15*$E$17/$E$34*2/3*$E$21/PI()*($E$22*$E$23*LN((W85+$E$23)/($E$33*W85+$E$23))+$E$24*W85*(1-$E$33)+$E$25*W85^2/2*(1-$E$33^2))</f>
        <v>13576.097517389604</v>
      </c>
      <c r="AC85" s="82">
        <f>$L$36*$E$14*$E$15*$E$17/$E$34*2/3*$E$21/PI()*($E$22*$E$23*LN((X85+$E$23)/($E$33*X85+$E$23))+$E$24*X85*(1-$E$33)+$E$25*X85^2/2*(1-$E$33^2))</f>
        <v>13602.774646871972</v>
      </c>
      <c r="AD85" s="72">
        <f>1/9/PI()*$E$21/$E$34*$E$28^2*T85*(3*T85+4*$E$27)/($E$26*$E$27*$E$14*$E$15*$E$17*16*$E$5^2*$E$6^2)</f>
        <v>17.754603871110604</v>
      </c>
      <c r="AE85" s="73">
        <f>1/9/PI()*$E$21/$E$34*$E$28^2*U85*(3*U85+4*$E$27)/($E$26*$E$27*$E$14*$E$15*$E$17*16*$E$5^2*$E$6^2)</f>
        <v>14.352717498912359</v>
      </c>
      <c r="AF85" s="73">
        <f>1/9/PI()*$E$21/$E$34*$E$28^2*V85*(3*V85+4*$E$27)/($E$26*$E$27*$E$14*$E$15*$E$17*16*$E$5^2*$E$6^2)</f>
        <v>12.015178165767448</v>
      </c>
      <c r="AG85" s="73">
        <f>1/9/PI()*$E$21/$E$34*$E$28^2*W85*(3*W85+4*$E$27)/($E$26*$E$27*$E$14*$E$15*$E$17*16*$E$5^2*$E$6^2)</f>
        <v>10.837179120132186</v>
      </c>
      <c r="AH85" s="74">
        <f>1/9/PI()*$E$21/$E$34*$E$28^2*X85*(3*X85+4*$E$27)/($E$26*$E$27*$E$14*$E$15*$E$17*16*$E$5^2*$E$6^2)</f>
        <v>10.889899478544207</v>
      </c>
      <c r="AI85" s="28"/>
      <c r="BX85"/>
    </row>
    <row r="86" spans="1:76" ht="16.5">
      <c r="A86" s="18">
        <v>48</v>
      </c>
      <c r="B86" s="4">
        <v>-0.553885694261746</v>
      </c>
      <c r="C86" s="11">
        <v>197.80678894011174</v>
      </c>
      <c r="D86" s="4">
        <v>-1.4583924395940684</v>
      </c>
      <c r="E86" s="4">
        <f t="shared" si="19"/>
        <v>1.5600313683298022</v>
      </c>
      <c r="F86" s="84">
        <f t="shared" si="20"/>
        <v>1.044328436034402</v>
      </c>
      <c r="G86" s="87">
        <f t="shared" si="21"/>
        <v>372.95647219441287</v>
      </c>
      <c r="H86" s="89">
        <f t="shared" si="22"/>
        <v>2.7497382787538407</v>
      </c>
      <c r="I86" s="89">
        <f t="shared" si="23"/>
        <v>2.941374250916431</v>
      </c>
      <c r="J86" s="57">
        <f>E86*E$29/E$30</f>
        <v>0.7354897609159553</v>
      </c>
      <c r="K86" s="11">
        <f>L$33*E$14/120*F86^2/E$8*E$7*E$10*(E$10-1)*E$5/E$6</f>
        <v>67.21822192934216</v>
      </c>
      <c r="L86" s="11">
        <f>L$34*E$14/6*F86^2/E$9*E$7*E$5/E$6*(1+(G86*E$5/F86)^2/15)</f>
        <v>3010.0758907135555</v>
      </c>
      <c r="M86" s="15">
        <f>L$35*E$14/8*H86^2/E$9*E$7*E$6/E$5</f>
        <v>93.55316601250118</v>
      </c>
      <c r="N86" s="11">
        <f>E$14*E$15*(E$12/E$11)^2*J86*(1-E$33)/E$34^2*(E$20/2/PI())^2/E$19*LN((E$18+E$19*J86)/(E$18+E$19*E$33*J86))</f>
        <v>9370.329383202426</v>
      </c>
      <c r="O86" s="11">
        <f t="shared" si="24"/>
        <v>14926.387414882705</v>
      </c>
      <c r="P86" s="11">
        <f t="shared" si="25"/>
        <v>13.94440112119992</v>
      </c>
      <c r="Q86" s="123">
        <f t="shared" si="26"/>
        <v>27481.50847786173</v>
      </c>
      <c r="R86" s="91">
        <f t="shared" si="27"/>
        <v>0.2167979489182389</v>
      </c>
      <c r="S86" s="28"/>
      <c r="T86" s="79">
        <f>SQRT(($B86-$C86*0.8*$E$5)^2+$D86^2)*$E$29/$E$30</f>
        <v>0.9285720496105295</v>
      </c>
      <c r="U86" s="80">
        <f>SQRT(($B86-$C86*0.4*$E$5)^2+$D86^2)*$E$29/$E$30</f>
        <v>0.817716850820649</v>
      </c>
      <c r="V86" s="80">
        <f>SQRT(($B86)^2+$D86^2)*$E$29/$E$30</f>
        <v>0.7354897609159553</v>
      </c>
      <c r="W86" s="80">
        <f>SQRT(($B86+$C86*0.4*$E$5)^2+$D86^2)*$E$29/$E$30</f>
        <v>0.6921698290206013</v>
      </c>
      <c r="X86" s="81">
        <f>SQRT(($B86+$C86*0.8*$E$5)^2+$D86^2)*$E$29/$E$30</f>
        <v>0.6950701399849066</v>
      </c>
      <c r="Y86" s="82">
        <f>$L$36*$E$14*$E$15*$E$17/$E$34*2/3*$E$21/PI()*($E$22*$E$23*LN((T86+$E$23)/($E$33*T86+$E$23))+$E$24*T86*(1-$E$33)+$E$25*T86^2/2*(1-$E$33^2))</f>
        <v>16648.93443209783</v>
      </c>
      <c r="Z86" s="82">
        <f>$L$36*$E$14*$E$15*$E$17/$E$34*2/3*$E$21/PI()*($E$22*$E$23*LN((U86+$E$23)/($E$33*U86+$E$23))+$E$24*U86*(1-$E$33)+$E$25*U86^2/2*(1-$E$33^2))</f>
        <v>15453.379855673056</v>
      </c>
      <c r="AA86" s="82">
        <f>$L$36*$E$14*$E$15*$E$17/$E$34*2/3*$E$21/PI()*($E$22*$E$23*LN((V86+$E$23)/($E$33*V86+$E$23))+$E$24*V86*(1-$E$33)+$E$25*V86^2/2*(1-$E$33^2))</f>
        <v>14510.688474530734</v>
      </c>
      <c r="AB86" s="82">
        <f>$L$36*$E$14*$E$15*$E$17/$E$34*2/3*$E$21/PI()*($E$22*$E$23*LN((W86+$E$23)/($E$33*W86+$E$23))+$E$24*W86*(1-$E$33)+$E$25*W86^2/2*(1-$E$33^2))</f>
        <v>13991.838427629598</v>
      </c>
      <c r="AC86" s="82">
        <f>$L$36*$E$14*$E$15*$E$17/$E$34*2/3*$E$21/PI()*($E$22*$E$23*LN((X86+$E$23)/($E$33*X86+$E$23))+$E$24*X86*(1-$E$33)+$E$25*X86^2/2*(1-$E$33^2))</f>
        <v>14027.095884482307</v>
      </c>
      <c r="AD86" s="72">
        <f>1/9/PI()*$E$21/$E$34*$E$28^2*T86*(3*T86+4*$E$27)/($E$26*$E$27*$E$14*$E$15*$E$17*16*$E$5^2*$E$6^2)</f>
        <v>18.398552977299744</v>
      </c>
      <c r="AE86" s="73">
        <f>1/9/PI()*$E$21/$E$34*$E$28^2*U86*(3*U86+4*$E$27)/($E$26*$E$27*$E$14*$E$15*$E$17*16*$E$5^2*$E$6^2)</f>
        <v>15.076184718074606</v>
      </c>
      <c r="AF86" s="73">
        <f>1/9/PI()*$E$21/$E$34*$E$28^2*V86*(3*V86+4*$E$27)/($E$26*$E$27*$E$14*$E$15*$E$17*16*$E$5^2*$E$6^2)</f>
        <v>12.809007426048296</v>
      </c>
      <c r="AG86" s="73">
        <f>1/9/PI()*$E$21/$E$34*$E$28^2*W86*(3*W86+4*$E$27)/($E$26*$E$27*$E$14*$E$15*$E$17*16*$E$5^2*$E$6^2)</f>
        <v>11.682135701065077</v>
      </c>
      <c r="AH86" s="74">
        <f>1/9/PI()*$E$21/$E$34*$E$28^2*X86*(3*X86+4*$E$27)/($E$26*$E$27*$E$14*$E$15*$E$17*16*$E$5^2*$E$6^2)</f>
        <v>11.756124783511874</v>
      </c>
      <c r="AI86" s="28"/>
      <c r="BX86"/>
    </row>
    <row r="87" spans="1:76" ht="16.5">
      <c r="A87" s="18">
        <v>49</v>
      </c>
      <c r="B87" s="4">
        <v>-0.5431440402046857</v>
      </c>
      <c r="C87" s="11">
        <v>195.4771629223311</v>
      </c>
      <c r="D87" s="4">
        <v>-1.5324290050316072</v>
      </c>
      <c r="E87" s="4">
        <f t="shared" si="19"/>
        <v>1.6258364320779723</v>
      </c>
      <c r="F87" s="84">
        <f t="shared" si="20"/>
        <v>1.0240754941403452</v>
      </c>
      <c r="G87" s="87">
        <f t="shared" si="21"/>
        <v>368.5640592454982</v>
      </c>
      <c r="H87" s="89">
        <f t="shared" si="22"/>
        <v>2.88933114311875</v>
      </c>
      <c r="I87" s="89">
        <f t="shared" si="23"/>
        <v>3.065446961259434</v>
      </c>
      <c r="J87" s="57">
        <f>E87*E$29/E$30</f>
        <v>0.7665141054168083</v>
      </c>
      <c r="K87" s="11">
        <f>L$33*E$14/120*F87^2/E$8*E$7*E$10*(E$10-1)*E$5/E$6</f>
        <v>64.63634055760889</v>
      </c>
      <c r="L87" s="11">
        <f>L$34*E$14/6*F87^2/E$9*E$7*E$5/E$6*(1+(G87*E$5/F87)^2/15)</f>
        <v>2902.0188857957487</v>
      </c>
      <c r="M87" s="15">
        <f>L$35*E$14/8*H87^2/E$9*E$7*E$6/E$5</f>
        <v>103.29288508443715</v>
      </c>
      <c r="N87" s="11">
        <f>E$14*E$15*(E$12/E$11)^2*J87*(1-E$33)/E$34^2*(E$20/2/PI())^2/E$19*LN((E$18+E$19*J87)/(E$18+E$19*E$33*J87))</f>
        <v>10098.303995647757</v>
      </c>
      <c r="O87" s="11">
        <f t="shared" si="24"/>
        <v>15263.2250992027</v>
      </c>
      <c r="P87" s="11">
        <f t="shared" si="25"/>
        <v>14.745694119244078</v>
      </c>
      <c r="Q87" s="123">
        <f t="shared" si="26"/>
        <v>28446.222900407494</v>
      </c>
      <c r="R87" s="91">
        <f t="shared" si="27"/>
        <v>0.22440845211416963</v>
      </c>
      <c r="S87" s="28"/>
      <c r="T87" s="79">
        <f>SQRT(($B87-$C87*0.8*$E$5)^2+$D87^2)*$E$29/$E$30</f>
        <v>0.9486276953741397</v>
      </c>
      <c r="U87" s="80">
        <f>SQRT(($B87-$C87*0.4*$E$5)^2+$D87^2)*$E$29/$E$30</f>
        <v>0.8435375588885827</v>
      </c>
      <c r="V87" s="80">
        <f>SQRT(($B87)^2+$D87^2)*$E$29/$E$30</f>
        <v>0.7665141054168083</v>
      </c>
      <c r="W87" s="80">
        <f>SQRT(($B87+$C87*0.4*$E$5)^2+$D87^2)*$E$29/$E$30</f>
        <v>0.726539252946813</v>
      </c>
      <c r="X87" s="81">
        <f>SQRT(($B87+$C87*0.8*$E$5)^2+$D87^2)*$E$29/$E$30</f>
        <v>0.7297272436084999</v>
      </c>
      <c r="Y87" s="82">
        <f>$L$36*$E$14*$E$15*$E$17/$E$34*2/3*$E$21/PI()*($E$22*$E$23*LN((T87+$E$23)/($E$33*T87+$E$23))+$E$24*T87*(1-$E$33)+$E$25*T87^2/2*(1-$E$33^2))</f>
        <v>16857.082336897998</v>
      </c>
      <c r="Z87" s="82">
        <f>$L$36*$E$14*$E$15*$E$17/$E$34*2/3*$E$21/PI()*($E$22*$E$23*LN((U87+$E$23)/($E$33*U87+$E$23))+$E$24*U87*(1-$E$33)+$E$25*U87^2/2*(1-$E$33^2))</f>
        <v>15739.08048707823</v>
      </c>
      <c r="AA87" s="82">
        <f>$L$36*$E$14*$E$15*$E$17/$E$34*2/3*$E$21/PI()*($E$22*$E$23*LN((V87+$E$23)/($E$33*V87+$E$23))+$E$24*V87*(1-$E$33)+$E$25*V87^2/2*(1-$E$33^2))</f>
        <v>14872.534814189596</v>
      </c>
      <c r="AB87" s="82">
        <f>$L$36*$E$14*$E$15*$E$17/$E$34*2/3*$E$21/PI()*($E$22*$E$23*LN((W87+$E$23)/($E$33*W87+$E$23))+$E$24*W87*(1-$E$33)+$E$25*W87^2/2*(1-$E$33^2))</f>
        <v>14404.821226506852</v>
      </c>
      <c r="AC87" s="82">
        <f>$L$36*$E$14*$E$15*$E$17/$E$34*2/3*$E$21/PI()*($E$22*$E$23*LN((X87+$E$23)/($E$33*X87+$E$23))+$E$24*X87*(1-$E$33)+$E$25*X87^2/2*(1-$E$33^2))</f>
        <v>14442.606631340826</v>
      </c>
      <c r="AD87" s="72">
        <f>1/9/PI()*$E$21/$E$34*$E$28^2*T87*(3*T87+4*$E$27)/($E$26*$E$27*$E$14*$E$15*$E$17*16*$E$5^2*$E$6^2)</f>
        <v>19.032237836405937</v>
      </c>
      <c r="AE87" s="73">
        <f>1/9/PI()*$E$21/$E$34*$E$28^2*U87*(3*U87+4*$E$27)/($E$26*$E$27*$E$14*$E$15*$E$17*16*$E$5^2*$E$6^2)</f>
        <v>15.82276889114567</v>
      </c>
      <c r="AF87" s="73">
        <f>1/9/PI()*$E$21/$E$34*$E$28^2*V87*(3*V87+4*$E$27)/($E$26*$E$27*$E$14*$E$15*$E$17*16*$E$5^2*$E$6^2)</f>
        <v>13.644684661784662</v>
      </c>
      <c r="AG87" s="73">
        <f>1/9/PI()*$E$21/$E$34*$E$28^2*W87*(3*W87+4*$E$27)/($E$26*$E$27*$E$14*$E$15*$E$17*16*$E$5^2*$E$6^2)</f>
        <v>12.572358988368668</v>
      </c>
      <c r="AH87" s="74">
        <f>1/9/PI()*$E$21/$E$34*$E$28^2*X87*(3*X87+4*$E$27)/($E$26*$E$27*$E$14*$E$15*$E$17*16*$E$5^2*$E$6^2)</f>
        <v>12.656420218515452</v>
      </c>
      <c r="AI87" s="28"/>
      <c r="BX87"/>
    </row>
    <row r="88" spans="1:76" ht="16.5">
      <c r="A88" s="18">
        <v>50</v>
      </c>
      <c r="B88" s="4">
        <v>-0.5318523069431151</v>
      </c>
      <c r="C88" s="11">
        <v>191.67859495808676</v>
      </c>
      <c r="D88" s="4">
        <v>-1.6083404901146503</v>
      </c>
      <c r="E88" s="4">
        <f t="shared" si="19"/>
        <v>1.6939970509251032</v>
      </c>
      <c r="F88" s="84">
        <f t="shared" si="20"/>
        <v>1.0027854007883388</v>
      </c>
      <c r="G88" s="87">
        <f t="shared" si="21"/>
        <v>361.40201736146446</v>
      </c>
      <c r="H88" s="89">
        <f t="shared" si="22"/>
        <v>3.032459090482489</v>
      </c>
      <c r="I88" s="89">
        <f t="shared" si="23"/>
        <v>3.193960972755321</v>
      </c>
      <c r="J88" s="57">
        <f>E88*E$29/E$30</f>
        <v>0.7986489959564976</v>
      </c>
      <c r="K88" s="11">
        <f>L$33*E$14/120*F88^2/E$8*E$7*E$10*(E$10-1)*E$5/E$6</f>
        <v>61.97675281610809</v>
      </c>
      <c r="L88" s="11">
        <f>L$34*E$14/6*F88^2/E$9*E$7*E$5/E$6*(1+(G88*E$5/F88)^2/15)</f>
        <v>2783.9196275938893</v>
      </c>
      <c r="M88" s="15">
        <f>L$35*E$14/8*H88^2/E$9*E$7*E$6/E$5</f>
        <v>113.77993253060056</v>
      </c>
      <c r="N88" s="11">
        <f>E$14*E$15*(E$12/E$11)^2*J88*(1-E$33)/E$34^2*(E$20/2/PI())^2/E$19*LN((E$18+E$19*J88)/(E$18+E$19*E$33*J88))</f>
        <v>10875.485079180511</v>
      </c>
      <c r="O88" s="11">
        <f t="shared" si="24"/>
        <v>15600.400922137487</v>
      </c>
      <c r="P88" s="11">
        <f t="shared" si="25"/>
        <v>15.586598840332641</v>
      </c>
      <c r="Q88" s="123">
        <f t="shared" si="26"/>
        <v>29451.14891309893</v>
      </c>
      <c r="R88" s="91">
        <f t="shared" si="27"/>
        <v>0.2323361791725876</v>
      </c>
      <c r="S88" s="28"/>
      <c r="T88" s="79">
        <f>SQRT(($B88-$C88*0.8*$E$5)^2+$D88^2)*$E$29/$E$30</f>
        <v>0.9684652498982946</v>
      </c>
      <c r="U88" s="80">
        <f>SQRT(($B88-$C88*0.4*$E$5)^2+$D88^2)*$E$29/$E$30</f>
        <v>0.8700326900676818</v>
      </c>
      <c r="V88" s="80">
        <f>SQRT(($B88)^2+$D88^2)*$E$29/$E$30</f>
        <v>0.7986489959564976</v>
      </c>
      <c r="W88" s="80">
        <f>SQRT(($B88+$C88*0.4*$E$5)^2+$D88^2)*$E$29/$E$30</f>
        <v>0.7619546909943603</v>
      </c>
      <c r="X88" s="81">
        <f>SQRT(($B88+$C88*0.8*$E$5)^2+$D88^2)*$E$29/$E$30</f>
        <v>0.7649582203913982</v>
      </c>
      <c r="Y88" s="82">
        <f>$L$36*$E$14*$E$15*$E$17/$E$34*2/3*$E$21/PI()*($E$22*$E$23*LN((T88+$E$23)/($E$33*T88+$E$23))+$E$24*T88*(1-$E$33)+$E$25*T88^2/2*(1-$E$33^2))</f>
        <v>17060.70633691073</v>
      </c>
      <c r="Z88" s="82">
        <f>$L$36*$E$14*$E$15*$E$17/$E$34*2/3*$E$21/PI()*($E$22*$E$23*LN((U88+$E$23)/($E$33*U88+$E$23))+$E$24*U88*(1-$E$33)+$E$25*U88^2/2*(1-$E$33^2))</f>
        <v>16027.526039273744</v>
      </c>
      <c r="AA88" s="82">
        <f>$L$36*$E$14*$E$15*$E$17/$E$34*2/3*$E$21/PI()*($E$22*$E$23*LN((V88+$E$23)/($E$33*V88+$E$23))+$E$24*V88*(1-$E$33)+$E$25*V88^2/2*(1-$E$33^2))</f>
        <v>15239.357385519508</v>
      </c>
      <c r="AB88" s="82">
        <f>$L$36*$E$14*$E$15*$E$17/$E$34*2/3*$E$21/PI()*($E$22*$E$23*LN((W88+$E$23)/($E$33*W88+$E$23))+$E$24*W88*(1-$E$33)+$E$25*W88^2/2*(1-$E$33^2))</f>
        <v>14819.842626082293</v>
      </c>
      <c r="AC88" s="82">
        <f>$L$36*$E$14*$E$15*$E$17/$E$34*2/3*$E$21/PI()*($E$22*$E$23*LN((X88+$E$23)/($E$33*X88+$E$23))+$E$24*X88*(1-$E$33)+$E$25*X88^2/2*(1-$E$33^2))</f>
        <v>14854.572222901155</v>
      </c>
      <c r="AD88" s="72">
        <f>1/9/PI()*$E$21/$E$34*$E$28^2*T88*(3*T88+4*$E$27)/($E$26*$E$27*$E$14*$E$15*$E$17*16*$E$5^2*$E$6^2)</f>
        <v>19.668861266014762</v>
      </c>
      <c r="AE88" s="73">
        <f>1/9/PI()*$E$21/$E$34*$E$28^2*U88*(3*U88+4*$E$27)/($E$26*$E$27*$E$14*$E$15*$E$17*16*$E$5^2*$E$6^2)</f>
        <v>16.606069816746817</v>
      </c>
      <c r="AF88" s="73">
        <f>1/9/PI()*$E$21/$E$34*$E$28^2*V88*(3*V88+4*$E$27)/($E$26*$E$27*$E$14*$E$15*$E$17*16*$E$5^2*$E$6^2)</f>
        <v>14.53548478818229</v>
      </c>
      <c r="AG88" s="73">
        <f>1/9/PI()*$E$21/$E$34*$E$28^2*W88*(3*W88+4*$E$27)/($E$26*$E$27*$E$14*$E$15*$E$17*16*$E$5^2*$E$6^2)</f>
        <v>13.520372741892968</v>
      </c>
      <c r="AH88" s="74">
        <f>1/9/PI()*$E$21/$E$34*$E$28^2*X88*(3*X88+4*$E$27)/($E$26*$E$27*$E$14*$E$15*$E$17*16*$E$5^2*$E$6^2)</f>
        <v>13.602205588826369</v>
      </c>
      <c r="AI88" s="28"/>
      <c r="BX88"/>
    </row>
    <row r="89" spans="1:76" ht="16.5">
      <c r="A89" s="18">
        <v>51</v>
      </c>
      <c r="B89" s="4">
        <v>-0.5197396600150359</v>
      </c>
      <c r="C89" s="11">
        <v>186.28593034491297</v>
      </c>
      <c r="D89" s="4">
        <v>-1.68723168296781</v>
      </c>
      <c r="E89" s="4">
        <f t="shared" si="19"/>
        <v>1.7654687950238412</v>
      </c>
      <c r="F89" s="84">
        <f t="shared" si="20"/>
        <v>0.9799475088664358</v>
      </c>
      <c r="G89" s="87">
        <f t="shared" si="21"/>
        <v>351.23437255698883</v>
      </c>
      <c r="H89" s="89">
        <f t="shared" si="22"/>
        <v>3.18120515289712</v>
      </c>
      <c r="I89" s="89">
        <f t="shared" si="23"/>
        <v>3.328717973177169</v>
      </c>
      <c r="J89" s="57">
        <f>E89*E$29/E$30</f>
        <v>0.8323449440294559</v>
      </c>
      <c r="K89" s="11">
        <f>L$33*E$14/120*F89^2/E$8*E$7*E$10*(E$10-1)*E$5/E$6</f>
        <v>59.18592500869406</v>
      </c>
      <c r="L89" s="11">
        <f>L$34*E$14/6*F89^2/E$9*E$7*E$5/E$6*(1+(G89*E$5/F89)^2/15)</f>
        <v>2653.6127760233685</v>
      </c>
      <c r="M89" s="15">
        <f>L$35*E$14/8*H89^2/E$9*E$7*E$6/E$5</f>
        <v>125.21579781838331</v>
      </c>
      <c r="N89" s="11">
        <f>E$14*E$15*(E$12/E$11)^2*J89*(1-E$33)/E$34^2*(E$20/2/PI())^2/E$19*LN((E$18+E$19*J89)/(E$18+E$19*E$33*J89))</f>
        <v>11715.199704418777</v>
      </c>
      <c r="O89" s="11">
        <f t="shared" si="24"/>
        <v>15943.030764776146</v>
      </c>
      <c r="P89" s="11">
        <f t="shared" si="25"/>
        <v>16.482739069815874</v>
      </c>
      <c r="Q89" s="123">
        <f t="shared" si="26"/>
        <v>30512.727707115184</v>
      </c>
      <c r="R89" s="91">
        <f t="shared" si="27"/>
        <v>0.24071083245420138</v>
      </c>
      <c r="S89" s="28"/>
      <c r="T89" s="79">
        <f>SQRT(($B89-$C89*0.8*$E$5)^2+$D89^2)*$E$29/$E$30</f>
        <v>0.9885109812190268</v>
      </c>
      <c r="U89" s="80">
        <f>SQRT(($B89-$C89*0.4*$E$5)^2+$D89^2)*$E$29/$E$30</f>
        <v>0.8976446832782151</v>
      </c>
      <c r="V89" s="80">
        <f>SQRT(($B89)^2+$D89^2)*$E$29/$E$30</f>
        <v>0.8323449440294559</v>
      </c>
      <c r="W89" s="80">
        <f>SQRT(($B89+$C89*0.4*$E$5)^2+$D89^2)*$E$29/$E$30</f>
        <v>0.7989057173984025</v>
      </c>
      <c r="X89" s="81">
        <f>SQRT(($B89+$C89*0.8*$E$5)^2+$D89^2)*$E$29/$E$30</f>
        <v>0.8013255865994932</v>
      </c>
      <c r="Y89" s="82">
        <f>$L$36*$E$14*$E$15*$E$17/$E$34*2/3*$E$21/PI()*($E$22*$E$23*LN((T89+$E$23)/($E$33*T89+$E$23))+$E$24*T89*(1-$E$33)+$E$25*T89^2/2*(1-$E$33^2))</f>
        <v>17264.253261290447</v>
      </c>
      <c r="Z89" s="82">
        <f>$L$36*$E$14*$E$15*$E$17/$E$34*2/3*$E$21/PI()*($E$22*$E$23*LN((U89+$E$23)/($E$33*U89+$E$23))+$E$24*U89*(1-$E$33)+$E$25*U89^2/2*(1-$E$33^2))</f>
        <v>16323.277605842102</v>
      </c>
      <c r="AA89" s="82">
        <f>$L$36*$E$14*$E$15*$E$17/$E$34*2/3*$E$21/PI()*($E$22*$E$23*LN((V89+$E$23)/($E$33*V89+$E$23))+$E$24*V89*(1-$E$33)+$E$25*V89^2/2*(1-$E$33^2))</f>
        <v>15615.806371755296</v>
      </c>
      <c r="AB89" s="82">
        <f>$L$36*$E$14*$E$15*$E$17/$E$34*2/3*$E$21/PI()*($E$22*$E$23*LN((W89+$E$23)/($E$33*W89+$E$23))+$E$24*W89*(1-$E$33)+$E$25*W89^2/2*(1-$E$33^2))</f>
        <v>15242.25652417001</v>
      </c>
      <c r="AC89" s="82">
        <f>$L$36*$E$14*$E$15*$E$17/$E$34*2/3*$E$21/PI()*($E$22*$E$23*LN((X89+$E$23)/($E$33*X89+$E$23))+$E$24*X89*(1-$E$33)+$E$25*X89^2/2*(1-$E$33^2))</f>
        <v>15269.56006082287</v>
      </c>
      <c r="AD89" s="72">
        <f>1/9/PI()*$E$21/$E$34*$E$28^2*T89*(3*T89+4*$E$27)/($E$26*$E$27*$E$14*$E$15*$E$17*16*$E$5^2*$E$6^2)</f>
        <v>20.3220956064441</v>
      </c>
      <c r="AE89" s="73">
        <f>1/9/PI()*$E$21/$E$34*$E$28^2*U89*(3*U89+4*$E$27)/($E$26*$E$27*$E$14*$E$15*$E$17*16*$E$5^2*$E$6^2)</f>
        <v>17.440946040654758</v>
      </c>
      <c r="AF89" s="73">
        <f>1/9/PI()*$E$21/$E$34*$E$28^2*V89*(3*V89+4*$E$27)/($E$26*$E$27*$E$14*$E$15*$E$17*16*$E$5^2*$E$6^2)</f>
        <v>15.49711021399522</v>
      </c>
      <c r="AG89" s="73">
        <f>1/9/PI()*$E$21/$E$34*$E$28^2*W89*(3*W89+4*$E$27)/($E$26*$E$27*$E$14*$E$15*$E$17*16*$E$5^2*$E$6^2)</f>
        <v>14.542704558963274</v>
      </c>
      <c r="AH89" s="74">
        <f>1/9/PI()*$E$21/$E$34*$E$28^2*X89*(3*X89+4*$E$27)/($E$26*$E$27*$E$14*$E$15*$E$17*16*$E$5^2*$E$6^2)</f>
        <v>14.61083892902203</v>
      </c>
      <c r="AI89" s="28"/>
      <c r="BX89"/>
    </row>
    <row r="90" spans="1:76" ht="16.5">
      <c r="A90" s="18">
        <v>52</v>
      </c>
      <c r="B90" s="4">
        <v>-0.507115608884023</v>
      </c>
      <c r="C90" s="11">
        <v>179.04529282170077</v>
      </c>
      <c r="D90" s="4">
        <v>-1.7698720892038968</v>
      </c>
      <c r="E90" s="4">
        <f t="shared" si="19"/>
        <v>1.8410902891810548</v>
      </c>
      <c r="F90" s="84">
        <f t="shared" si="20"/>
        <v>0.9561453855932557</v>
      </c>
      <c r="G90" s="87">
        <f t="shared" si="21"/>
        <v>337.5824517024761</v>
      </c>
      <c r="H90" s="89">
        <f t="shared" si="22"/>
        <v>3.3370202011857586</v>
      </c>
      <c r="I90" s="89">
        <f t="shared" si="23"/>
        <v>3.471299154713278</v>
      </c>
      <c r="J90" s="57">
        <f>E90*E$29/E$30</f>
        <v>0.8679973262743994</v>
      </c>
      <c r="K90" s="11">
        <f>L$33*E$14/120*F90^2/E$8*E$7*E$10*(E$10-1)*E$5/E$6</f>
        <v>56.34568720060346</v>
      </c>
      <c r="L90" s="11">
        <f>L$34*E$14/6*F90^2/E$9*E$7*E$5/E$6*(1+(G90*E$5/F90)^2/15)</f>
        <v>2513.641107764784</v>
      </c>
      <c r="M90" s="15">
        <f>L$35*E$14/8*H90^2/E$9*E$7*E$6/E$5</f>
        <v>137.78230374241795</v>
      </c>
      <c r="N90" s="11">
        <f>E$14*E$15*(E$12/E$11)^2*J90*(1-E$33)/E$34^2*(E$20/2/PI())^2/E$19*LN((E$18+E$19*J90)/(E$18+E$19*E$33*J90))</f>
        <v>12630.704623609165</v>
      </c>
      <c r="O90" s="11">
        <f t="shared" si="24"/>
        <v>16294.974586563365</v>
      </c>
      <c r="P90" s="11">
        <f t="shared" si="25"/>
        <v>17.449017010914904</v>
      </c>
      <c r="Q90" s="123">
        <f t="shared" si="26"/>
        <v>31650.897325891252</v>
      </c>
      <c r="R90" s="91">
        <f t="shared" si="27"/>
        <v>0.24968970051999487</v>
      </c>
      <c r="S90" s="28"/>
      <c r="T90" s="79">
        <f>SQRT(($B90-$C90*0.8*$E$5)^2+$D90^2)*$E$29/$E$30</f>
        <v>1.0091814541349289</v>
      </c>
      <c r="U90" s="80">
        <f>SQRT(($B90-$C90*0.4*$E$5)^2+$D90^2)*$E$29/$E$30</f>
        <v>0.9267954439419815</v>
      </c>
      <c r="V90" s="80">
        <f>SQRT(($B90)^2+$D90^2)*$E$29/$E$30</f>
        <v>0.8679973262743994</v>
      </c>
      <c r="W90" s="80">
        <f>SQRT(($B90+$C90*0.4*$E$5)^2+$D90^2)*$E$29/$E$30</f>
        <v>0.8377684034944054</v>
      </c>
      <c r="X90" s="81">
        <f>SQRT(($B90+$C90*0.8*$E$5)^2+$D90^2)*$E$29/$E$30</f>
        <v>0.8392016523659794</v>
      </c>
      <c r="Y90" s="82">
        <f>$L$36*$E$14*$E$15*$E$17/$E$34*2/3*$E$21/PI()*($E$22*$E$23*LN((T90+$E$23)/($E$33*T90+$E$23))+$E$24*T90*(1-$E$33)+$E$25*T90^2/2*(1-$E$33^2))</f>
        <v>17471.883490370372</v>
      </c>
      <c r="Z90" s="82">
        <f>$L$36*$E$14*$E$15*$E$17/$E$34*2/3*$E$21/PI()*($E$22*$E$23*LN((U90+$E$23)/($E$33*U90+$E$23))+$E$24*U90*(1-$E$33)+$E$25*U90^2/2*(1-$E$33^2))</f>
        <v>16630.38265684565</v>
      </c>
      <c r="AA90" s="82">
        <f>$L$36*$E$14*$E$15*$E$17/$E$34*2/3*$E$21/PI()*($E$22*$E$23*LN((V90+$E$23)/($E$33*V90+$E$23))+$E$24*V90*(1-$E$33)+$E$25*V90^2/2*(1-$E$33^2))</f>
        <v>16005.532038472724</v>
      </c>
      <c r="AB90" s="82">
        <f>$L$36*$E$14*$E$15*$E$17/$E$34*2/3*$E$21/PI()*($E$22*$E$23*LN((W90+$E$23)/($E$33*W90+$E$23))+$E$24*W90*(1-$E$33)+$E$25*W90^2/2*(1-$E$33^2))</f>
        <v>15675.647281509267</v>
      </c>
      <c r="AC90" s="82">
        <f>$L$36*$E$14*$E$15*$E$17/$E$34*2/3*$E$21/PI()*($E$22*$E$23*LN((X90+$E$23)/($E$33*X90+$E$23))+$E$24*X90*(1-$E$33)+$E$25*X90^2/2*(1-$E$33^2))</f>
        <v>15691.427465618806</v>
      </c>
      <c r="AD90" s="72">
        <f>1/9/PI()*$E$21/$E$34*$E$28^2*T90*(3*T90+4*$E$27)/($E$26*$E$27*$E$14*$E$15*$E$17*16*$E$5^2*$E$6^2)</f>
        <v>21.006141989172644</v>
      </c>
      <c r="AE90" s="73">
        <f>1/9/PI()*$E$21/$E$34*$E$28^2*U90*(3*U90+4*$E$27)/($E$26*$E$27*$E$14*$E$15*$E$17*16*$E$5^2*$E$6^2)</f>
        <v>18.342900514590628</v>
      </c>
      <c r="AF90" s="73">
        <f>1/9/PI()*$E$21/$E$34*$E$28^2*V90*(3*V90+4*$E$27)/($E$26*$E$27*$E$14*$E$15*$E$17*16*$E$5^2*$E$6^2)</f>
        <v>16.545278055176706</v>
      </c>
      <c r="AG90" s="73">
        <f>1/9/PI()*$E$21/$E$34*$E$28^2*W90*(3*W90+4*$E$27)/($E$26*$E$27*$E$14*$E$15*$E$17*16*$E$5^2*$E$6^2)</f>
        <v>15.65452176834232</v>
      </c>
      <c r="AH90" s="74">
        <f>1/9/PI()*$E$21/$E$34*$E$28^2*X90*(3*X90+4*$E$27)/($E$26*$E$27*$E$14*$E$15*$E$17*16*$E$5^2*$E$6^2)</f>
        <v>15.696242727292212</v>
      </c>
      <c r="AI90" s="28"/>
      <c r="BX90"/>
    </row>
    <row r="91" spans="1:76" ht="16.5">
      <c r="A91" s="18">
        <v>53</v>
      </c>
      <c r="B91" s="4">
        <v>-0.4933396757856654</v>
      </c>
      <c r="C91" s="11">
        <v>169.5704965161943</v>
      </c>
      <c r="D91" s="4">
        <v>-1.857988197278325</v>
      </c>
      <c r="E91" s="4">
        <f t="shared" si="19"/>
        <v>1.9223694173935106</v>
      </c>
      <c r="F91" s="84">
        <f t="shared" si="20"/>
        <v>0.930171436786548</v>
      </c>
      <c r="G91" s="87">
        <f t="shared" si="21"/>
        <v>319.7181174003192</v>
      </c>
      <c r="H91" s="89">
        <f t="shared" si="22"/>
        <v>3.50315945751275</v>
      </c>
      <c r="I91" s="89">
        <f t="shared" si="23"/>
        <v>3.6245475699147023</v>
      </c>
      <c r="J91" s="57">
        <f>E91*E$29/E$30</f>
        <v>0.9063170471402932</v>
      </c>
      <c r="K91" s="11">
        <f>L$33*E$14/120*F91^2/E$8*E$7*E$10*(E$10-1)*E$5/E$6</f>
        <v>53.32597585184956</v>
      </c>
      <c r="L91" s="11">
        <f>L$34*E$14/6*F91^2/E$9*E$7*E$5/E$6*(1+(G91*E$5/F91)^2/15)</f>
        <v>2358.500839957575</v>
      </c>
      <c r="M91" s="15">
        <f>L$35*E$14/8*H91^2/E$9*E$7*E$6/E$5</f>
        <v>151.8432821500809</v>
      </c>
      <c r="N91" s="11">
        <f>E$14*E$15*(E$12/E$11)^2*J91*(1-E$33)/E$34^2*(E$20/2/PI())^2/E$19*LN((E$18+E$19*J91)/(E$18+E$19*E$33*J91))</f>
        <v>13645.016557966066</v>
      </c>
      <c r="O91" s="11">
        <f t="shared" si="24"/>
        <v>16663.120991433163</v>
      </c>
      <c r="P91" s="11">
        <f t="shared" si="25"/>
        <v>18.511459062230283</v>
      </c>
      <c r="Q91" s="123">
        <f t="shared" si="26"/>
        <v>32890.31910642097</v>
      </c>
      <c r="R91" s="91">
        <f t="shared" si="27"/>
        <v>0.2594673333628169</v>
      </c>
      <c r="S91" s="28"/>
      <c r="T91" s="79">
        <f>SQRT(($B91-$C91*0.8*$E$5)^2+$D91^2)*$E$29/$E$30</f>
        <v>1.0310007128231997</v>
      </c>
      <c r="U91" s="80">
        <f>SQRT(($B91-$C91*0.4*$E$5)^2+$D91^2)*$E$29/$E$30</f>
        <v>0.9581144640414481</v>
      </c>
      <c r="V91" s="80">
        <f>SQRT(($B91)^2+$D91^2)*$E$29/$E$30</f>
        <v>0.9063170471402932</v>
      </c>
      <c r="W91" s="80">
        <f>SQRT(($B91+$C91*0.4*$E$5)^2+$D91^2)*$E$29/$E$30</f>
        <v>0.879343084942933</v>
      </c>
      <c r="X91" s="81">
        <f>SQRT(($B91+$C91*0.8*$E$5)^2+$D91^2)*$E$29/$E$30</f>
        <v>0.879479584473109</v>
      </c>
      <c r="Y91" s="82">
        <f>$L$36*$E$14*$E$15*$E$17/$E$34*2/3*$E$21/PI()*($E$22*$E$23*LN((T91+$E$23)/($E$33*T91+$E$23))+$E$24*T91*(1-$E$33)+$E$25*T91^2/2*(1-$E$33^2))</f>
        <v>17688.63869099038</v>
      </c>
      <c r="Z91" s="82">
        <f>$L$36*$E$14*$E$15*$E$17/$E$34*2/3*$E$21/PI()*($E$22*$E$23*LN((U91+$E$23)/($E$33*U91+$E$23))+$E$24*U91*(1-$E$33)+$E$25*U91^2/2*(1-$E$33^2))</f>
        <v>16954.736126445707</v>
      </c>
      <c r="AA91" s="82">
        <f>$L$36*$E$14*$E$15*$E$17/$E$34*2/3*$E$21/PI()*($E$22*$E$23*LN((V91+$E$23)/($E$33*V91+$E$23))+$E$24*V91*(1-$E$33)+$E$25*V91^2/2*(1-$E$33^2))</f>
        <v>16415.18088183959</v>
      </c>
      <c r="AB91" s="82">
        <f>$L$36*$E$14*$E$15*$E$17/$E$34*2/3*$E$21/PI()*($E$22*$E$23*LN((W91+$E$23)/($E$33*W91+$E$23))+$E$24*W91*(1-$E$33)+$E$25*W91^2/2*(1-$E$33^2))</f>
        <v>16127.79170508795</v>
      </c>
      <c r="AC91" s="82">
        <f>$L$36*$E$14*$E$15*$E$17/$E$34*2/3*$E$21/PI()*($E$22*$E$23*LN((X91+$E$23)/($E$33*X91+$E$23))+$E$24*X91*(1-$E$33)+$E$25*X91^2/2*(1-$E$33^2))</f>
        <v>16129.2575528022</v>
      </c>
      <c r="AD91" s="72">
        <f>1/9/PI()*$E$21/$E$34*$E$28^2*T91*(3*T91+4*$E$27)/($E$26*$E$27*$E$14*$E$15*$E$17*16*$E$5^2*$E$6^2)</f>
        <v>21.739720115853604</v>
      </c>
      <c r="AE91" s="73">
        <f>1/9/PI()*$E$21/$E$34*$E$28^2*U91*(3*U91+4*$E$27)/($E$26*$E$27*$E$14*$E$15*$E$17*16*$E$5^2*$E$6^2)</f>
        <v>19.335465958169213</v>
      </c>
      <c r="AF91" s="73">
        <f>1/9/PI()*$E$21/$E$34*$E$28^2*V91*(3*V91+4*$E$27)/($E$26*$E$27*$E$14*$E$15*$E$17*16*$E$5^2*$E$6^2)</f>
        <v>17.70707203618722</v>
      </c>
      <c r="AG91" s="73">
        <f>1/9/PI()*$E$21/$E$34*$E$28^2*W91*(3*W91+4*$E$27)/($E$26*$E$27*$E$14*$E$15*$E$17*16*$E$5^2*$E$6^2)</f>
        <v>16.885462506736403</v>
      </c>
      <c r="AH91" s="74">
        <f>1/9/PI()*$E$21/$E$34*$E$28^2*X91*(3*X91+4*$E$27)/($E$26*$E$27*$E$14*$E$15*$E$17*16*$E$5^2*$E$6^2)</f>
        <v>16.88957469420499</v>
      </c>
      <c r="AI91" s="28"/>
      <c r="BX91"/>
    </row>
    <row r="92" spans="1:76" ht="16.5">
      <c r="A92" s="18">
        <v>54</v>
      </c>
      <c r="B92" s="4">
        <v>-0.4787903408554657</v>
      </c>
      <c r="C92" s="11">
        <v>157.24990032700651</v>
      </c>
      <c r="D92" s="4">
        <v>-1.9528091483623131</v>
      </c>
      <c r="E92" s="4">
        <f t="shared" si="19"/>
        <v>2.010647597274081</v>
      </c>
      <c r="F92" s="84">
        <f t="shared" si="20"/>
        <v>0.902739270997814</v>
      </c>
      <c r="G92" s="87">
        <f t="shared" si="21"/>
        <v>296.4881457968541</v>
      </c>
      <c r="H92" s="89">
        <f t="shared" si="22"/>
        <v>3.6819404164267033</v>
      </c>
      <c r="I92" s="89">
        <f t="shared" si="23"/>
        <v>3.7909924058903246</v>
      </c>
      <c r="J92" s="57">
        <f>E92*E$29/E$30</f>
        <v>0.9479365291151777</v>
      </c>
      <c r="K92" s="11">
        <f>L$33*E$14/120*F92^2/E$8*E$7*E$10*(E$10-1)*E$5/E$6</f>
        <v>50.22702835588293</v>
      </c>
      <c r="L92" s="11">
        <f>L$34*E$14/6*F92^2/E$9*E$7*E$5/E$6*(1+(G92*E$5/F92)^2/15)</f>
        <v>2191.0816205459732</v>
      </c>
      <c r="M92" s="15">
        <f>L$35*E$14/8*H92^2/E$9*E$7*E$6/E$5</f>
        <v>167.73715894255946</v>
      </c>
      <c r="N92" s="11">
        <f>E$14*E$15*(E$12/E$11)^2*J92*(1-E$33)/E$34^2*(E$20/2/PI())^2/E$19*LN((E$18+E$19*J92)/(E$18+E$19*E$33*J92))</f>
        <v>14781.42799840634</v>
      </c>
      <c r="O92" s="11">
        <f t="shared" si="24"/>
        <v>17052.877764542187</v>
      </c>
      <c r="P92" s="11">
        <f t="shared" si="25"/>
        <v>19.69640136066223</v>
      </c>
      <c r="Q92" s="123">
        <f t="shared" si="26"/>
        <v>34263.0479721536</v>
      </c>
      <c r="R92" s="91">
        <f t="shared" si="27"/>
        <v>0.270296607991298</v>
      </c>
      <c r="S92" s="28"/>
      <c r="T92" s="79">
        <f>SQRT(($B92-$C92*0.8*$E$5)^2+$D92^2)*$E$29/$E$30</f>
        <v>1.0545631384667125</v>
      </c>
      <c r="U92" s="80">
        <f>SQRT(($B92-$C92*0.4*$E$5)^2+$D92^2)*$E$29/$E$30</f>
        <v>0.9922346793577685</v>
      </c>
      <c r="V92" s="80">
        <f>SQRT(($B92)^2+$D92^2)*$E$29/$E$30</f>
        <v>0.9479365291151777</v>
      </c>
      <c r="W92" s="80">
        <f>SQRT(($B92+$C92*0.4*$E$5)^2+$D92^2)*$E$29/$E$30</f>
        <v>0.9242648029352368</v>
      </c>
      <c r="X92" s="81">
        <f>SQRT(($B92+$C92*0.8*$E$5)^2+$D92^2)*$E$29/$E$30</f>
        <v>0.9228081854113345</v>
      </c>
      <c r="Y92" s="82">
        <f>$L$36*$E$14*$E$15*$E$17/$E$34*2/3*$E$21/PI()*($E$22*$E$23*LN((T92+$E$23)/($E$33*T92+$E$23))+$E$24*T92*(1-$E$33)+$E$25*T92^2/2*(1-$E$33^2))</f>
        <v>17920.01322175866</v>
      </c>
      <c r="Z92" s="82">
        <f>$L$36*$E$14*$E$15*$E$17/$E$34*2/3*$E$21/PI()*($E$22*$E$23*LN((U92+$E$23)/($E$33*U92+$E$23))+$E$24*U92*(1-$E$33)+$E$25*U92^2/2*(1-$E$33^2))</f>
        <v>17301.82444521798</v>
      </c>
      <c r="AA92" s="82">
        <f>$L$36*$E$14*$E$15*$E$17/$E$34*2/3*$E$21/PI()*($E$22*$E$23*LN((V92+$E$23)/($E$33*V92+$E$23))+$E$24*V92*(1-$E$33)+$E$25*V92^2/2*(1-$E$33^2))</f>
        <v>16849.947694276034</v>
      </c>
      <c r="AB92" s="82">
        <f>$L$36*$E$14*$E$15*$E$17/$E$34*2/3*$E$21/PI()*($E$22*$E$23*LN((W92+$E$23)/($E$33*W92+$E$23))+$E$24*W92*(1-$E$33)+$E$25*W92^2/2*(1-$E$33^2))</f>
        <v>16603.92481209549</v>
      </c>
      <c r="AC92" s="82">
        <f>$L$36*$E$14*$E$15*$E$17/$E$34*2/3*$E$21/PI()*($E$22*$E$23*LN((X92+$E$23)/($E$33*X92+$E$23))+$E$24*X92*(1-$E$33)+$E$25*X92^2/2*(1-$E$33^2))</f>
        <v>16588.678649362762</v>
      </c>
      <c r="AD92" s="72">
        <f>1/9/PI()*$E$21/$E$34*$E$28^2*T92*(3*T92+4*$E$27)/($E$26*$E$27*$E$14*$E$15*$E$17*16*$E$5^2*$E$6^2)</f>
        <v>22.54518605934092</v>
      </c>
      <c r="AE92" s="73">
        <f>1/9/PI()*$E$21/$E$34*$E$28^2*U92*(3*U92+4*$E$27)/($E$26*$E$27*$E$14*$E$15*$E$17*16*$E$5^2*$E$6^2)</f>
        <v>20.44453986721826</v>
      </c>
      <c r="AF92" s="73">
        <f>1/9/PI()*$E$21/$E$34*$E$28^2*V92*(3*V92+4*$E$27)/($E$26*$E$27*$E$14*$E$15*$E$17*16*$E$5^2*$E$6^2)</f>
        <v>19.010233279066874</v>
      </c>
      <c r="AG92" s="73">
        <f>1/9/PI()*$E$21/$E$34*$E$28^2*W92*(3*W92+4*$E$27)/($E$26*$E$27*$E$14*$E$15*$E$17*16*$E$5^2*$E$6^2)</f>
        <v>18.263763157428592</v>
      </c>
      <c r="AH92" s="74">
        <f>1/9/PI()*$E$21/$E$34*$E$28^2*X92*(3*X92+4*$E$27)/($E$26*$E$27*$E$14*$E$15*$E$17*16*$E$5^2*$E$6^2)</f>
        <v>18.218284440256497</v>
      </c>
      <c r="AI92" s="28"/>
      <c r="BX92"/>
    </row>
    <row r="93" spans="1:76" ht="16.5">
      <c r="A93" s="11">
        <f>J26</f>
        <v>55.21613681534294</v>
      </c>
      <c r="B93" s="4">
        <v>-0.4635021370273096</v>
      </c>
      <c r="C93" s="11">
        <v>140.2893426549694</v>
      </c>
      <c r="D93" s="4">
        <v>-2.0562244163677725</v>
      </c>
      <c r="E93" s="4">
        <f t="shared" si="19"/>
        <v>2.1078171366358776</v>
      </c>
      <c r="F93" s="84">
        <f t="shared" si="20"/>
        <v>0.8739139986373973</v>
      </c>
      <c r="G93" s="87">
        <f t="shared" si="21"/>
        <v>264.509719830251</v>
      </c>
      <c r="H93" s="89">
        <f t="shared" si="22"/>
        <v>3.8769256023903322</v>
      </c>
      <c r="I93" s="89">
        <f t="shared" si="23"/>
        <v>3.9742015303056846</v>
      </c>
      <c r="J93" s="57">
        <f>E93*E$29/E$30</f>
        <v>0.9937479164528793</v>
      </c>
      <c r="K93" s="11">
        <f>L$33*E$14/120*F93^2/E$8*E$7*E$10*(E$10-1)*E$5/E$6</f>
        <v>47.07065105089888</v>
      </c>
      <c r="L93" s="11">
        <f>L$34*E$14/6*F93^2/E$9*E$7*E$5/E$6*(1+(G93*E$5/F93)^2/15)</f>
        <v>2008.3783161794386</v>
      </c>
      <c r="M93" s="15">
        <f>L$35*E$14/8*H93^2/E$9*E$7*E$6/E$5</f>
        <v>185.97334586121443</v>
      </c>
      <c r="N93" s="11">
        <f>E$14*E$15*(E$12/E$11)^2*J93*(1-E$33)/E$34^2*(E$20/2/PI())^2/E$19*LN((E$18+E$19*J93)/(E$18+E$19*E$33*J93))</f>
        <v>16073.108706051926</v>
      </c>
      <c r="O93" s="11">
        <f t="shared" si="24"/>
        <v>17470.154374266607</v>
      </c>
      <c r="P93" s="11">
        <f t="shared" si="25"/>
        <v>21.035884976934064</v>
      </c>
      <c r="Q93" s="123">
        <f t="shared" si="26"/>
        <v>35805.72127838701</v>
      </c>
      <c r="R93" s="91">
        <f>Q93*J$29*(A93-A92)</f>
        <v>0.3435179725118994</v>
      </c>
      <c r="S93" s="28"/>
      <c r="T93" s="79">
        <f>SQRT(($B93-$C93*0.8*$E$5)^2+$D93^2)*$E$29/$E$30</f>
        <v>1.079955082444766</v>
      </c>
      <c r="U93" s="80">
        <f>SQRT(($B93-$C93*0.4*$E$5)^2+$D93^2)*$E$29/$E$30</f>
        <v>1.0297343342481344</v>
      </c>
      <c r="V93" s="80">
        <f>SQRT(($B93)^2+$D93^2)*$E$29/$E$30</f>
        <v>0.9937479164528793</v>
      </c>
      <c r="W93" s="80">
        <f>SQRT(($B93+$C93*0.4*$E$5)^2+$D93^2)*$E$29/$E$30</f>
        <v>0.9735755476968652</v>
      </c>
      <c r="X93" s="81">
        <f>SQRT(($B93+$C93*0.8*$E$5)^2+$D93^2)*$E$29/$E$30</f>
        <v>0.9702041413980285</v>
      </c>
      <c r="Y93" s="82">
        <f>$L$36*$E$14*$E$15*$E$17/$E$34*2/3*$E$21/PI()*($E$22*$E$23*LN((T93+$E$23)/($E$33*T93+$E$23))+$E$24*T93*(1-$E$33)+$E$25*T93^2/2*(1-$E$33^2))</f>
        <v>18166.319596427464</v>
      </c>
      <c r="Z93" s="82">
        <f>$L$36*$E$14*$E$15*$E$17/$E$34*2/3*$E$21/PI()*($E$22*$E$23*LN((U93+$E$23)/($E$33*U93+$E$23))+$E$24*U93*(1-$E$33)+$E$25*U93^2/2*(1-$E$33^2))</f>
        <v>17676.124766414847</v>
      </c>
      <c r="AA93" s="82">
        <f>$L$36*$E$14*$E$15*$E$17/$E$34*2/3*$E$21/PI()*($E$22*$E$23*LN((V93+$E$23)/($E$33*V93+$E$23))+$E$24*V93*(1-$E$33)+$E$25*V93^2/2*(1-$E$33^2))</f>
        <v>17317.071436603648</v>
      </c>
      <c r="AB93" s="82">
        <f>$L$36*$E$14*$E$15*$E$17/$E$34*2/3*$E$21/PI()*($E$22*$E$23*LN((W93+$E$23)/($E$33*W93+$E$23))+$E$24*W93*(1-$E$33)+$E$25*W93^2/2*(1-$E$33^2))</f>
        <v>17112.805625978155</v>
      </c>
      <c r="AC93" s="82">
        <f>$L$36*$E$14*$E$15*$E$17/$E$34*2/3*$E$21/PI()*($E$22*$E$23*LN((X93+$E$23)/($E$33*X93+$E$23))+$E$24*X93*(1-$E$33)+$E$25*X93^2/2*(1-$E$33^2))</f>
        <v>17078.45044590893</v>
      </c>
      <c r="AD93" s="72">
        <f>1/9/PI()*$E$21/$E$34*$E$28^2*T93*(3*T93+4*$E$27)/($E$26*$E$27*$E$14*$E$15*$E$17*16*$E$5^2*$E$6^2)</f>
        <v>23.428632255346194</v>
      </c>
      <c r="AE93" s="73">
        <f>1/9/PI()*$E$21/$E$34*$E$28^2*U93*(3*U93+4*$E$27)/($E$26*$E$27*$E$14*$E$15*$E$17*16*$E$5^2*$E$6^2)</f>
        <v>21.696820338065685</v>
      </c>
      <c r="AF93" s="73">
        <f>1/9/PI()*$E$21/$E$34*$E$28^2*V93*(3*V93+4*$E$27)/($E$26*$E$27*$E$14*$E$15*$E$17*16*$E$5^2*$E$6^2)</f>
        <v>20.494397216927474</v>
      </c>
      <c r="AG93" s="73">
        <f>1/9/PI()*$E$21/$E$34*$E$28^2*W93*(3*W93+4*$E$27)/($E$26*$E$27*$E$14*$E$15*$E$17*16*$E$5^2*$E$6^2)</f>
        <v>19.834443588220132</v>
      </c>
      <c r="AH93" s="74">
        <f>1/9/PI()*$E$21/$E$34*$E$28^2*X93*(3*X93+4*$E$27)/($E$26*$E$27*$E$14*$E$15*$E$17*16*$E$5^2*$E$6^2)</f>
        <v>19.725131486110822</v>
      </c>
      <c r="AI93" s="28"/>
      <c r="BX93"/>
    </row>
    <row r="94" spans="1:76" ht="6" customHeight="1">
      <c r="A94" s="11"/>
      <c r="B94" s="4"/>
      <c r="D94" s="4"/>
      <c r="E94" s="4"/>
      <c r="F94" s="84"/>
      <c r="G94" s="87"/>
      <c r="H94" s="89"/>
      <c r="I94" s="89"/>
      <c r="J94" s="57"/>
      <c r="L94" s="11"/>
      <c r="M94" s="15"/>
      <c r="N94" s="11"/>
      <c r="O94" s="11"/>
      <c r="P94" s="11"/>
      <c r="Q94" s="123"/>
      <c r="R94" s="91"/>
      <c r="S94" s="28"/>
      <c r="T94" s="79"/>
      <c r="U94" s="80"/>
      <c r="V94" s="80"/>
      <c r="W94" s="80"/>
      <c r="X94" s="81"/>
      <c r="Y94" s="82"/>
      <c r="Z94" s="82"/>
      <c r="AA94" s="82"/>
      <c r="AB94" s="82"/>
      <c r="AC94" s="82"/>
      <c r="AD94" s="64"/>
      <c r="AE94" s="65"/>
      <c r="AF94" s="65"/>
      <c r="AG94" s="65"/>
      <c r="AH94" s="66"/>
      <c r="AI94" s="28"/>
      <c r="BX94"/>
    </row>
    <row r="95" spans="1:76" ht="16.5">
      <c r="A95" s="11">
        <f>I27</f>
        <v>66.20526072708387</v>
      </c>
      <c r="B95" s="4">
        <v>-0.3268494801752908</v>
      </c>
      <c r="C95" s="11">
        <v>103.8678988060364</v>
      </c>
      <c r="D95" s="4">
        <v>-1.4315649793308114</v>
      </c>
      <c r="E95" s="4">
        <f aca="true" t="shared" si="28" ref="E95:E102">SQRT(B95^2+D95^2)</f>
        <v>1.468403511551673</v>
      </c>
      <c r="F95" s="84">
        <f aca="true" t="shared" si="29" ref="F95:F102">-B95*$E$29*(1-$E$33)/$E$30/$E$34</f>
        <v>0.6162610986100227</v>
      </c>
      <c r="G95" s="87">
        <f aca="true" t="shared" si="30" ref="G95:G102">C95*$E$29*(1-$E$33)/$E$30/$E$34</f>
        <v>195.83860250961374</v>
      </c>
      <c r="H95" s="89">
        <f aca="true" t="shared" si="31" ref="H95:H102">-D95*$E$29*(1-$E$33)/$E$30/$E$34</f>
        <v>2.699156218394176</v>
      </c>
      <c r="I95" s="89">
        <f aca="true" t="shared" si="32" ref="I95:I102">E95*$E$29*(1-$E$33)/$E$30/$E$34</f>
        <v>2.7686137384900738</v>
      </c>
      <c r="J95" s="57">
        <f>E95*E$29/E$30</f>
        <v>0.6922910459137448</v>
      </c>
      <c r="K95" s="11">
        <f>L$33*E$14/120*F95^2/E$8*E$7*E$10*(E$10-1)*E$5/E$6</f>
        <v>23.406814897806065</v>
      </c>
      <c r="L95" s="11">
        <f>L$34*E$14/6*F95^2/E$9*E$7*E$5/E$6*(1+(G95*E$5/F95)^2/15)</f>
        <v>1011.6160413722586</v>
      </c>
      <c r="M95" s="15">
        <f>L$35*E$14/8*H95^2/E$9*E$7*E$6/E$5</f>
        <v>90.14295945600959</v>
      </c>
      <c r="N95" s="11">
        <f>E$14*E$15*(E$12/E$11)^2*J95*(1-E$33)/E$34^2*(E$20/2/PI())^2/E$19*LN((E$18+E$19*J95)/(E$18+E$19*E$33*J95))</f>
        <v>8394.11651575568</v>
      </c>
      <c r="O95" s="11">
        <f aca="true" t="shared" si="33" ref="O95:O102">(Y95+Z95+AA95+AB95+AC95)/5</f>
        <v>14138.338801178073</v>
      </c>
      <c r="P95" s="11">
        <f aca="true" t="shared" si="34" ref="P95:P102">(AD95+AE95+AF95+AG95+AH95)/5</f>
        <v>12.01281376131606</v>
      </c>
      <c r="Q95" s="123">
        <f aca="true" t="shared" si="35" ref="Q95:Q102">SUM(K95:P95)</f>
        <v>23669.633946421145</v>
      </c>
      <c r="R95" s="91">
        <f>Q95*J$29*(A96-A95)</f>
        <v>0.1483989464209301</v>
      </c>
      <c r="S95" s="28"/>
      <c r="T95" s="79">
        <f>SQRT(($B95-$C95*0.8*$E$5)^2+$D95^2)*$E$29/$E$30</f>
        <v>0.7578449189758786</v>
      </c>
      <c r="U95" s="80">
        <f>SQRT(($B95-$C95*0.4*$E$5)^2+$D95^2)*$E$29/$E$30</f>
        <v>0.7195254545805567</v>
      </c>
      <c r="V95" s="80">
        <f>SQRT(($B95)^2+$D95^2)*$E$29/$E$30</f>
        <v>0.6922910459137448</v>
      </c>
      <c r="W95" s="80">
        <f>SQRT(($B95+$C95*0.4*$E$5)^2+$D95^2)*$E$29/$E$30</f>
        <v>0.6774798584508074</v>
      </c>
      <c r="X95" s="81">
        <f>SQRT(($B95+$C95*0.8*$E$5)^2+$D95^2)*$E$29/$E$30</f>
        <v>0.675909075876256</v>
      </c>
      <c r="Y95" s="82">
        <f>$L$36*$E$14*$E$15*$E$17/$E$34*2/3*$E$21/PI()*($E$22*$E$23*LN((T95+$E$23)/($E$33*T95+$E$23))+$E$24*T95*(1-$E$33)+$E$25*T95^2/2*(1-$E$33^2))</f>
        <v>14772.205590499947</v>
      </c>
      <c r="Z95" s="82">
        <f>$L$36*$E$14*$E$15*$E$17/$E$34*2/3*$E$21/PI()*($E$22*$E$23*LN((U95+$E$23)/($E$33*U95+$E$23))+$E$24*U95*(1-$E$33)+$E$25*U95^2/2*(1-$E$33^2))</f>
        <v>14321.385057334941</v>
      </c>
      <c r="AA95" s="82">
        <f>$L$36*$E$14*$E$15*$E$17/$E$34*2/3*$E$21/PI()*($E$22*$E$23*LN((V95+$E$23)/($E$33*V95+$E$23))+$E$24*V95*(1-$E$33)+$E$25*V95^2/2*(1-$E$33^2))</f>
        <v>13993.313534038021</v>
      </c>
      <c r="AB95" s="82">
        <f>$L$36*$E$14*$E$15*$E$17/$E$34*2/3*$E$21/PI()*($E$22*$E$23*LN((W95+$E$23)/($E$33*W95+$E$23))+$E$24*W95*(1-$E$33)+$E$25*W95^2/2*(1-$E$33^2))</f>
        <v>13812.066203726983</v>
      </c>
      <c r="AC95" s="82">
        <f>$L$36*$E$14*$E$15*$E$17/$E$34*2/3*$E$21/PI()*($E$22*$E$23*LN((X95+$E$23)/($E$33*X95+$E$23))+$E$24*X95*(1-$E$33)+$E$25*X95^2/2*(1-$E$33^2))</f>
        <v>13792.723620290482</v>
      </c>
      <c r="AD95" s="72">
        <f>1/9/PI()*$E$21/$E$34*$E$28^2*T95*(3*T95+4*$E$27)/($E$26*$E$27*$E$14*$E$15*$E$17*16*$E$5^2*$E$6^2)</f>
        <v>13.408762797076932</v>
      </c>
      <c r="AE95" s="73">
        <f>1/9/PI()*$E$21/$E$34*$E$28^2*U95*(3*U95+4*$E$27)/($E$26*$E$27*$E$14*$E$15*$E$17*16*$E$5^2*$E$6^2)</f>
        <v>12.388307244199062</v>
      </c>
      <c r="AF95" s="73">
        <f>1/9/PI()*$E$21/$E$34*$E$28^2*V95*(3*V95+4*$E$27)/($E$26*$E$27*$E$14*$E$15*$E$17*16*$E$5^2*$E$6^2)</f>
        <v>11.685223849691926</v>
      </c>
      <c r="AG95" s="73">
        <f>1/9/PI()*$E$21/$E$34*$E$28^2*W95*(3*W95+4*$E$27)/($E$26*$E$27*$E$14*$E$15*$E$17*16*$E$5^2*$E$6^2)</f>
        <v>11.310593153942618</v>
      </c>
      <c r="AH95" s="74">
        <f>1/9/PI()*$E$21/$E$34*$E$28^2*X95*(3*X95+4*$E$27)/($E$26*$E$27*$E$14*$E$15*$E$17*16*$E$5^2*$E$6^2)</f>
        <v>11.271181761669759</v>
      </c>
      <c r="AI95" s="28"/>
      <c r="BX95"/>
    </row>
    <row r="96" spans="1:76" ht="16.5">
      <c r="A96" s="18">
        <v>67</v>
      </c>
      <c r="B96" s="4">
        <v>-0.3163960523853646</v>
      </c>
      <c r="C96" s="11">
        <v>116.97068031077002</v>
      </c>
      <c r="D96" s="4">
        <v>-1.5031113978909254</v>
      </c>
      <c r="E96" s="4">
        <f t="shared" si="28"/>
        <v>1.536050238903225</v>
      </c>
      <c r="F96" s="84">
        <f t="shared" si="29"/>
        <v>0.5965515953530325</v>
      </c>
      <c r="G96" s="87">
        <f t="shared" si="30"/>
        <v>220.54335198825362</v>
      </c>
      <c r="H96" s="89">
        <f t="shared" si="31"/>
        <v>2.8340540144066466</v>
      </c>
      <c r="I96" s="89">
        <f t="shared" si="32"/>
        <v>2.8961588289478666</v>
      </c>
      <c r="J96" s="57">
        <f>E96*E$29/E$30</f>
        <v>0.7241836580346195</v>
      </c>
      <c r="K96" s="11">
        <f>L$33*E$14/120*F96^2/E$8*E$7*E$10*(E$10-1)*E$5/E$6</f>
        <v>21.933545303881708</v>
      </c>
      <c r="L96" s="11">
        <f>L$34*E$14/6*F96^2/E$9*E$7*E$5/E$6*(1+(G96*E$5/F96)^2/15)</f>
        <v>993.9868879358403</v>
      </c>
      <c r="M96" s="15">
        <f>L$35*E$14/8*H96^2/E$9*E$7*E$6/E$5</f>
        <v>99.37840381283833</v>
      </c>
      <c r="N96" s="11">
        <f>E$14*E$15*(E$12/E$11)^2*J96*(1-E$33)/E$34^2*(E$20/2/PI())^2/E$19*LN((E$18+E$19*J96)/(E$18+E$19*E$33*J96))</f>
        <v>9110.583327688857</v>
      </c>
      <c r="O96" s="11">
        <f t="shared" si="33"/>
        <v>14549.934303490954</v>
      </c>
      <c r="P96" s="11">
        <f t="shared" si="34"/>
        <v>12.920780907252993</v>
      </c>
      <c r="Q96" s="123">
        <f t="shared" si="35"/>
        <v>24788.737249139624</v>
      </c>
      <c r="R96" s="91">
        <f aca="true" t="shared" si="36" ref="R96:R101">Q96*J$29</f>
        <v>0.19555503644262714</v>
      </c>
      <c r="S96" s="28"/>
      <c r="T96" s="79">
        <f>SQRT(($B96-$C96*0.8*$E$5)^2+$D96^2)*$E$29/$E$30</f>
        <v>0.7965805977233209</v>
      </c>
      <c r="U96" s="80">
        <f>SQRT(($B96-$C96*0.4*$E$5)^2+$D96^2)*$E$29/$E$30</f>
        <v>0.7536409330928323</v>
      </c>
      <c r="V96" s="80">
        <f>SQRT(($B96)^2+$D96^2)*$E$29/$E$30</f>
        <v>0.7241836580346195</v>
      </c>
      <c r="W96" s="80">
        <f>SQRT(($B96+$C96*0.4*$E$5)^2+$D96^2)*$E$29/$E$30</f>
        <v>0.7098891408264713</v>
      </c>
      <c r="X96" s="81">
        <f>SQRT(($B96+$C96*0.8*$E$5)^2+$D96^2)*$E$29/$E$30</f>
        <v>0.7116716385594302</v>
      </c>
      <c r="Y96" s="82">
        <f>$L$36*$E$14*$E$15*$E$17/$E$34*2/3*$E$21/PI()*($E$22*$E$23*LN((T96+$E$23)/($E$33*T96+$E$23))+$E$24*T96*(1-$E$33)+$E$25*T96^2/2*(1-$E$33^2))</f>
        <v>15215.981306484395</v>
      </c>
      <c r="Z96" s="82">
        <f>$L$36*$E$14*$E$15*$E$17/$E$34*2/3*$E$21/PI()*($E$22*$E$23*LN((U96+$E$23)/($E$33*U96+$E$23))+$E$24*U96*(1-$E$33)+$E$25*U96^2/2*(1-$E$33^2))</f>
        <v>14723.336740488145</v>
      </c>
      <c r="AA96" s="82">
        <f>$L$36*$E$14*$E$15*$E$17/$E$34*2/3*$E$21/PI()*($E$22*$E$23*LN((V96+$E$23)/($E$33*V96+$E$23))+$E$24*V96*(1-$E$33)+$E$25*V96^2/2*(1-$E$33^2))</f>
        <v>14376.846118566345</v>
      </c>
      <c r="AB96" s="82">
        <f>$L$36*$E$14*$E$15*$E$17/$E$34*2/3*$E$21/PI()*($E$22*$E$23*LN((W96+$E$23)/($E$33*W96+$E$23))+$E$24*W96*(1-$E$33)+$E$25*W96^2/2*(1-$E$33^2))</f>
        <v>14206.056463601584</v>
      </c>
      <c r="AC96" s="82">
        <f>$L$36*$E$14*$E$15*$E$17/$E$34*2/3*$E$21/PI()*($E$22*$E$23*LN((X96+$E$23)/($E$33*X96+$E$23))+$E$24*X96*(1-$E$33)+$E$25*X96^2/2*(1-$E$33^2))</f>
        <v>14227.450888314297</v>
      </c>
      <c r="AD96" s="72">
        <f>1/9/PI()*$E$21/$E$34*$E$28^2*T96*(3*T96+4*$E$27)/($E$26*$E$27*$E$14*$E$15*$E$17*16*$E$5^2*$E$6^2)</f>
        <v>14.477375009703442</v>
      </c>
      <c r="AE96" s="73">
        <f>1/9/PI()*$E$21/$E$34*$E$28^2*U96*(3*U96+4*$E$27)/($E$26*$E$27*$E$14*$E$15*$E$17*16*$E$5^2*$E$6^2)</f>
        <v>13.295028377696966</v>
      </c>
      <c r="AF96" s="73">
        <f>1/9/PI()*$E$21/$E$34*$E$28^2*V96*(3*V96+4*$E$27)/($E$26*$E$27*$E$14*$E$15*$E$17*16*$E$5^2*$E$6^2)</f>
        <v>12.510408639296802</v>
      </c>
      <c r="AG96" s="73">
        <f>1/9/PI()*$E$21/$E$34*$E$28^2*W96*(3*W96+4*$E$27)/($E$26*$E$27*$E$14*$E$15*$E$17*16*$E$5^2*$E$6^2)</f>
        <v>12.137429909692731</v>
      </c>
      <c r="AH96" s="74">
        <f>1/9/PI()*$E$21/$E$34*$E$28^2*X96*(3*X96+4*$E$27)/($E$26*$E$27*$E$14*$E$15*$E$17*16*$E$5^2*$E$6^2)</f>
        <v>12.183662599875014</v>
      </c>
      <c r="AI96" s="28"/>
      <c r="BX96"/>
    </row>
    <row r="97" spans="1:76" ht="16.5">
      <c r="A97" s="18">
        <v>68</v>
      </c>
      <c r="B97" s="4">
        <v>-0.3060447855019479</v>
      </c>
      <c r="C97" s="11">
        <v>124.38540401609183</v>
      </c>
      <c r="D97" s="4">
        <v>-1.6262178333673354</v>
      </c>
      <c r="E97" s="4">
        <f t="shared" si="28"/>
        <v>1.6547651955171416</v>
      </c>
      <c r="F97" s="84">
        <f t="shared" si="29"/>
        <v>0.5770347122355841</v>
      </c>
      <c r="G97" s="87">
        <f t="shared" si="30"/>
        <v>234.5235050975099</v>
      </c>
      <c r="H97" s="89">
        <f t="shared" si="31"/>
        <v>3.0661660775250255</v>
      </c>
      <c r="I97" s="89">
        <f t="shared" si="32"/>
        <v>3.1199909413474267</v>
      </c>
      <c r="J97" s="57">
        <f>E97*E$29/E$30</f>
        <v>0.7801528114950381</v>
      </c>
      <c r="K97" s="11">
        <f>L$33*E$14/120*F97^2/E$8*E$7*E$10*(E$10-1)*E$5/E$6</f>
        <v>20.521858652284283</v>
      </c>
      <c r="L97" s="11">
        <f>L$34*E$14/6*F97^2/E$9*E$7*E$5/E$6*(1+(G97*E$5/F97)^2/15)</f>
        <v>964.4251050281963</v>
      </c>
      <c r="M97" s="15">
        <f>L$35*E$14/8*H97^2/E$9*E$7*E$6/E$5</f>
        <v>116.32340854372589</v>
      </c>
      <c r="N97" s="11">
        <f>E$14*E$15*(E$12/E$11)^2*J97*(1-E$33)/E$34^2*(E$20/2/PI())^2/E$19*LN((E$18+E$19*J97)/(E$18+E$19*E$33*J97))</f>
        <v>10425.306157827003</v>
      </c>
      <c r="O97" s="11">
        <f t="shared" si="33"/>
        <v>15206.162757809787</v>
      </c>
      <c r="P97" s="11">
        <f t="shared" si="34"/>
        <v>14.474668226015396</v>
      </c>
      <c r="Q97" s="123">
        <f t="shared" si="35"/>
        <v>26747.213956087013</v>
      </c>
      <c r="R97" s="91">
        <f t="shared" si="36"/>
        <v>0.21100519753594488</v>
      </c>
      <c r="S97" s="28"/>
      <c r="T97" s="79">
        <f>SQRT(($B97-$C97*0.8*$E$5)^2+$D97^2)*$E$29/$E$30</f>
        <v>0.8524046988439026</v>
      </c>
      <c r="U97" s="80">
        <f>SQRT(($B97-$C97*0.4*$E$5)^2+$D97^2)*$E$29/$E$30</f>
        <v>0.8090692725202834</v>
      </c>
      <c r="V97" s="80">
        <f>SQRT(($B97)^2+$D97^2)*$E$29/$E$30</f>
        <v>0.7801528114950381</v>
      </c>
      <c r="W97" s="80">
        <f>SQRT(($B97+$C97*0.4*$E$5)^2+$D97^2)*$E$29/$E$30</f>
        <v>0.7672872573244652</v>
      </c>
      <c r="X97" s="81">
        <f>SQRT(($B97+$C97*0.8*$E$5)^2+$D97^2)*$E$29/$E$30</f>
        <v>0.7712762576685238</v>
      </c>
      <c r="Y97" s="82">
        <f>$L$36*$E$14*$E$15*$E$17/$E$34*2/3*$E$21/PI()*($E$22*$E$23*LN((T97+$E$23)/($E$33*T97+$E$23))+$E$24*T97*(1-$E$33)+$E$25*T97^2/2*(1-$E$33^2))</f>
        <v>15836.135818992274</v>
      </c>
      <c r="Z97" s="82">
        <f>$L$36*$E$14*$E$15*$E$17/$E$34*2/3*$E$21/PI()*($E$22*$E$23*LN((U97+$E$23)/($E$33*U97+$E$23))+$E$24*U97*(1-$E$33)+$E$25*U97^2/2*(1-$E$33^2))</f>
        <v>15356.644149263382</v>
      </c>
      <c r="AA97" s="82">
        <f>$L$36*$E$14*$E$15*$E$17/$E$34*2/3*$E$21/PI()*($E$22*$E$23*LN((V97+$E$23)/($E$33*V97+$E$23))+$E$24*V97*(1-$E$33)+$E$25*V97^2/2*(1-$E$33^2))</f>
        <v>15029.184567744716</v>
      </c>
      <c r="AB97" s="82">
        <f>$L$36*$E$14*$E$15*$E$17/$E$34*2/3*$E$21/PI()*($E$22*$E$23*LN((W97+$E$23)/($E$33*W97+$E$23))+$E$24*W97*(1-$E$33)+$E$25*W97^2/2*(1-$E$33^2))</f>
        <v>14881.453720853471</v>
      </c>
      <c r="AC97" s="82">
        <f>$L$36*$E$14*$E$15*$E$17/$E$34*2/3*$E$21/PI()*($E$22*$E$23*LN((X97+$E$23)/($E$33*X97+$E$23))+$E$24*X97*(1-$E$33)+$E$25*X97^2/2*(1-$E$33^2))</f>
        <v>14927.395532195073</v>
      </c>
      <c r="AD97" s="72">
        <f>1/9/PI()*$E$21/$E$34*$E$28^2*T97*(3*T97+4*$E$27)/($E$26*$E$27*$E$14*$E$15*$E$17*16*$E$5^2*$E$6^2)</f>
        <v>16.082975176309954</v>
      </c>
      <c r="AE97" s="73">
        <f>1/9/PI()*$E$21/$E$34*$E$28^2*U97*(3*U97+4*$E$27)/($E$26*$E$27*$E$14*$E$15*$E$17*16*$E$5^2*$E$6^2)</f>
        <v>14.829849397638984</v>
      </c>
      <c r="AF97" s="73">
        <f>1/9/PI()*$E$21/$E$34*$E$28^2*V97*(3*V97+4*$E$27)/($E$26*$E$27*$E$14*$E$15*$E$17*16*$E$5^2*$E$6^2)</f>
        <v>14.019625221285878</v>
      </c>
      <c r="AG97" s="73">
        <f>1/9/PI()*$E$21/$E$34*$E$28^2*W97*(3*W97+4*$E$27)/($E$26*$E$27*$E$14*$E$15*$E$17*16*$E$5^2*$E$6^2)</f>
        <v>13.665815769997291</v>
      </c>
      <c r="AH97" s="74">
        <f>1/9/PI()*$E$21/$E$34*$E$28^2*X97*(3*X97+4*$E$27)/($E$26*$E$27*$E$14*$E$15*$E$17*16*$E$5^2*$E$6^2)</f>
        <v>13.77507556484487</v>
      </c>
      <c r="AI97" s="28"/>
      <c r="BX97"/>
    </row>
    <row r="98" spans="1:76" ht="16.5">
      <c r="A98" s="18">
        <v>69</v>
      </c>
      <c r="B98" s="4">
        <v>-0.29536781640040477</v>
      </c>
      <c r="C98" s="11">
        <v>126.9506343646594</v>
      </c>
      <c r="D98" s="4">
        <v>-1.7448986966969309</v>
      </c>
      <c r="E98" s="4">
        <f t="shared" si="28"/>
        <v>1.7697213364537907</v>
      </c>
      <c r="F98" s="84">
        <f t="shared" si="29"/>
        <v>0.556903731134395</v>
      </c>
      <c r="G98" s="87">
        <f t="shared" si="30"/>
        <v>239.36014021147182</v>
      </c>
      <c r="H98" s="89">
        <f t="shared" si="31"/>
        <v>3.289933908455208</v>
      </c>
      <c r="I98" s="89">
        <f t="shared" si="32"/>
        <v>3.3367359631464355</v>
      </c>
      <c r="J98" s="57">
        <f>E98*E$29/E$30</f>
        <v>0.834349840048276</v>
      </c>
      <c r="K98" s="11">
        <f>L$33*E$14/120*F98^2/E$8*E$7*E$10*(E$10-1)*E$5/E$6</f>
        <v>19.114945681889015</v>
      </c>
      <c r="L98" s="11">
        <f>L$34*E$14/6*F98^2/E$9*E$7*E$5/E$6*(1+(G98*E$5/F98)^2/15)</f>
        <v>920.2865416175282</v>
      </c>
      <c r="M98" s="15">
        <f>L$35*E$14/8*H98^2/E$9*E$7*E$6/E$5</f>
        <v>133.92144215883076</v>
      </c>
      <c r="N98" s="11">
        <f>E$14*E$15*(E$12/E$11)^2*J98*(1-E$33)/E$34^2*(E$20/2/PI())^2/E$19*LN((E$18+E$19*J98)/(E$18+E$19*E$33*J98))</f>
        <v>11765.950562946271</v>
      </c>
      <c r="O98" s="11">
        <f t="shared" si="33"/>
        <v>15806.259646093555</v>
      </c>
      <c r="P98" s="11">
        <f t="shared" si="34"/>
        <v>16.021267622503654</v>
      </c>
      <c r="Q98" s="123">
        <f t="shared" si="35"/>
        <v>28661.554406120576</v>
      </c>
      <c r="R98" s="91">
        <f t="shared" si="36"/>
        <v>0.22610717359496751</v>
      </c>
      <c r="S98" s="28"/>
      <c r="T98" s="79">
        <f>SQRT(($B98-$C98*0.8*$E$5)^2+$D98^2)*$E$29/$E$30</f>
        <v>0.9029279826008083</v>
      </c>
      <c r="U98" s="80">
        <f>SQRT(($B98-$C98*0.4*$E$5)^2+$D98^2)*$E$29/$E$30</f>
        <v>0.8614775705038913</v>
      </c>
      <c r="V98" s="80">
        <f>SQRT(($B98)^2+$D98^2)*$E$29/$E$30</f>
        <v>0.834349840048276</v>
      </c>
      <c r="W98" s="80">
        <f>SQRT(($B98+$C98*0.4*$E$5)^2+$D98^2)*$E$29/$E$30</f>
        <v>0.8229623898365316</v>
      </c>
      <c r="X98" s="81">
        <f>SQRT(($B98+$C98*0.8*$E$5)^2+$D98^2)*$E$29/$E$30</f>
        <v>0.8279649285881031</v>
      </c>
      <c r="Y98" s="82">
        <f>$L$36*$E$14*$E$15*$E$17/$E$34*2/3*$E$21/PI()*($E$22*$E$23*LN((T98+$E$23)/($E$33*T98+$E$23))+$E$24*T98*(1-$E$33)+$E$25*T98^2/2*(1-$E$33^2))</f>
        <v>16379.32118676595</v>
      </c>
      <c r="Z98" s="82">
        <f>$L$36*$E$14*$E$15*$E$17/$E$34*2/3*$E$21/PI()*($E$22*$E$23*LN((U98+$E$23)/($E$33*U98+$E$23))+$E$24*U98*(1-$E$33)+$E$25*U98^2/2*(1-$E$33^2))</f>
        <v>15934.897656544996</v>
      </c>
      <c r="AA98" s="82">
        <f>$L$36*$E$14*$E$15*$E$17/$E$34*2/3*$E$21/PI()*($E$22*$E$23*LN((V98+$E$23)/($E$33*V98+$E$23))+$E$24*V98*(1-$E$33)+$E$25*V98^2/2*(1-$E$33^2))</f>
        <v>15637.951519432863</v>
      </c>
      <c r="AB98" s="82">
        <f>$L$36*$E$14*$E$15*$E$17/$E$34*2/3*$E$21/PI()*($E$22*$E$23*LN((W98+$E$23)/($E$33*W98+$E$23))+$E$24*W98*(1-$E$33)+$E$25*W98^2/2*(1-$E$33^2))</f>
        <v>15511.798361526044</v>
      </c>
      <c r="AC98" s="82">
        <f>$L$36*$E$14*$E$15*$E$17/$E$34*2/3*$E$21/PI()*($E$22*$E$23*LN((X98+$E$23)/($E$33*X98+$E$23))+$E$24*X98*(1-$E$33)+$E$25*X98^2/2*(1-$E$33^2))</f>
        <v>15567.32950619791</v>
      </c>
      <c r="AD98" s="72">
        <f>1/9/PI()*$E$21/$E$34*$E$28^2*T98*(3*T98+4*$E$27)/($E$26*$E$27*$E$14*$E$15*$E$17*16*$E$5^2*$E$6^2)</f>
        <v>17.602850524041546</v>
      </c>
      <c r="AE98" s="73">
        <f>1/9/PI()*$E$21/$E$34*$E$28^2*U98*(3*U98+4*$E$27)/($E$26*$E$27*$E$14*$E$15*$E$17*16*$E$5^2*$E$6^2)</f>
        <v>16.351240327952173</v>
      </c>
      <c r="AF98" s="73">
        <f>1/9/PI()*$E$21/$E$34*$E$28^2*V98*(3*V98+4*$E$27)/($E$26*$E$27*$E$14*$E$15*$E$17*16*$E$5^2*$E$6^2)</f>
        <v>15.555215581356313</v>
      </c>
      <c r="AG98" s="73">
        <f>1/9/PI()*$E$21/$E$34*$E$28^2*W98*(3*W98+4*$E$27)/($E$26*$E$27*$E$14*$E$15*$E$17*16*$E$5^2*$E$6^2)</f>
        <v>15.226514562409863</v>
      </c>
      <c r="AH98" s="74">
        <f>1/9/PI()*$E$21/$E$34*$E$28^2*X98*(3*X98+4*$E$27)/($E$26*$E$27*$E$14*$E$15*$E$17*16*$E$5^2*$E$6^2)</f>
        <v>15.370517116758373</v>
      </c>
      <c r="AI98" s="28"/>
      <c r="BX98"/>
    </row>
    <row r="99" spans="1:76" ht="16.5">
      <c r="A99" s="18">
        <v>70</v>
      </c>
      <c r="B99" s="4">
        <v>-0.2833675986125561</v>
      </c>
      <c r="C99" s="11">
        <v>125.64999275201042</v>
      </c>
      <c r="D99" s="4">
        <v>-1.8630264814476016</v>
      </c>
      <c r="E99" s="4">
        <f t="shared" si="28"/>
        <v>1.8844534662650807</v>
      </c>
      <c r="F99" s="84">
        <f t="shared" si="29"/>
        <v>0.5342778196795779</v>
      </c>
      <c r="G99" s="87">
        <f t="shared" si="30"/>
        <v>236.90783455481576</v>
      </c>
      <c r="H99" s="89">
        <f t="shared" si="31"/>
        <v>3.5126589327317492</v>
      </c>
      <c r="I99" s="89">
        <f t="shared" si="32"/>
        <v>3.553058621286977</v>
      </c>
      <c r="J99" s="57">
        <f>E99*E$29/E$30</f>
        <v>0.8884412566937164</v>
      </c>
      <c r="K99" s="11">
        <f>L$33*E$14/120*F99^2/E$8*E$7*E$10*(E$10-1)*E$5/E$6</f>
        <v>17.593291685958047</v>
      </c>
      <c r="L99" s="11">
        <f>L$34*E$14/6*F99^2/E$9*E$7*E$5/E$6*(1+(G99*E$5/F99)^2/15)</f>
        <v>859.3271020456167</v>
      </c>
      <c r="M99" s="15">
        <f>L$35*E$14/8*H99^2/E$9*E$7*E$6/E$5</f>
        <v>152.6679018829324</v>
      </c>
      <c r="N99" s="11">
        <f>E$14*E$15*(E$12/E$11)^2*J99*(1-E$33)/E$34^2*(E$20/2/PI())^2/E$19*LN((E$18+E$19*J99)/(E$18+E$19*E$33*J99))</f>
        <v>13167.986027683235</v>
      </c>
      <c r="O99" s="11">
        <f t="shared" si="33"/>
        <v>16376.644234924304</v>
      </c>
      <c r="P99" s="11">
        <f t="shared" si="34"/>
        <v>17.610242519246583</v>
      </c>
      <c r="Q99" s="123">
        <f t="shared" si="35"/>
        <v>30591.828800741296</v>
      </c>
      <c r="R99" s="91">
        <f t="shared" si="36"/>
        <v>0.2413348504141014</v>
      </c>
      <c r="S99" s="28"/>
      <c r="T99" s="79">
        <f>SQRT(($B99-$C99*0.8*$E$5)^2+$D99^2)*$E$29/$E$30</f>
        <v>0.9508351585366376</v>
      </c>
      <c r="U99" s="80">
        <f>SQRT(($B99-$C99*0.4*$E$5)^2+$D99^2)*$E$29/$E$30</f>
        <v>0.9129175935000206</v>
      </c>
      <c r="V99" s="80">
        <f>SQRT(($B99)^2+$D99^2)*$E$29/$E$30</f>
        <v>0.8884412566937164</v>
      </c>
      <c r="W99" s="80">
        <f>SQRT(($B99+$C99*0.4*$E$5)^2+$D99^2)*$E$29/$E$30</f>
        <v>0.8785303073487658</v>
      </c>
      <c r="X99" s="81">
        <f>SQRT(($B99+$C99*0.8*$E$5)^2+$D99^2)*$E$29/$E$30</f>
        <v>0.8836749603368248</v>
      </c>
      <c r="Y99" s="82">
        <f>$L$36*$E$14*$E$15*$E$17/$E$34*2/3*$E$21/PI()*($E$22*$E$23*LN((T99+$E$23)/($E$33*T99+$E$23))+$E$24*T99*(1-$E$33)+$E$25*T99^2/2*(1-$E$33^2))</f>
        <v>16879.85087010422</v>
      </c>
      <c r="Z99" s="82">
        <f>$L$36*$E$14*$E$15*$E$17/$E$34*2/3*$E$21/PI()*($E$22*$E$23*LN((U99+$E$23)/($E$33*U99+$E$23))+$E$24*U99*(1-$E$33)+$E$25*U99^2/2*(1-$E$33^2))</f>
        <v>16484.82007710275</v>
      </c>
      <c r="AA99" s="82">
        <f>$L$36*$E$14*$E$15*$E$17/$E$34*2/3*$E$21/PI()*($E$22*$E$23*LN((V99+$E$23)/($E$33*V99+$E$23))+$E$24*V99*(1-$E$33)+$E$25*V99^2/2*(1-$E$33^2))</f>
        <v>16225.236201400776</v>
      </c>
      <c r="AB99" s="82">
        <f>$L$36*$E$14*$E$15*$E$17/$E$34*2/3*$E$21/PI()*($E$22*$E$23*LN((W99+$E$23)/($E$33*W99+$E$23))+$E$24*W99*(1-$E$33)+$E$25*W99^2/2*(1-$E$33^2))</f>
        <v>16119.060941658134</v>
      </c>
      <c r="AC99" s="82">
        <f>$L$36*$E$14*$E$15*$E$17/$E$34*2/3*$E$21/PI()*($E$22*$E$23*LN((X99+$E$23)/($E$33*X99+$E$23))+$E$24*X99*(1-$E$33)+$E$25*X99^2/2*(1-$E$33^2))</f>
        <v>16174.253084355649</v>
      </c>
      <c r="AD99" s="72">
        <f>1/9/PI()*$E$21/$E$34*$E$28^2*T99*(3*T99+4*$E$27)/($E$26*$E$27*$E$14*$E$15*$E$17*16*$E$5^2*$E$6^2)</f>
        <v>19.10259598726822</v>
      </c>
      <c r="AE99" s="73">
        <f>1/9/PI()*$E$21/$E$34*$E$28^2*U99*(3*U99+4*$E$27)/($E$26*$E$27*$E$14*$E$15*$E$17*16*$E$5^2*$E$6^2)</f>
        <v>17.910872959691172</v>
      </c>
      <c r="AF99" s="73">
        <f>1/9/PI()*$E$21/$E$34*$E$28^2*V99*(3*V99+4*$E$27)/($E$26*$E$27*$E$14*$E$15*$E$17*16*$E$5^2*$E$6^2)</f>
        <v>17.1605669147883</v>
      </c>
      <c r="AG99" s="73">
        <f>1/9/PI()*$E$21/$E$34*$E$28^2*W99*(3*W99+4*$E$27)/($E$26*$E$27*$E$14*$E$15*$E$17*16*$E$5^2*$E$6^2)</f>
        <v>16.86098633644322</v>
      </c>
      <c r="AH99" s="74">
        <f>1/9/PI()*$E$21/$E$34*$E$28^2*X99*(3*X99+4*$E$27)/($E$26*$E$27*$E$14*$E$15*$E$17*16*$E$5^2*$E$6^2)</f>
        <v>17.016190398041996</v>
      </c>
      <c r="AI99" s="28"/>
      <c r="BX99"/>
    </row>
    <row r="100" spans="1:76" ht="16.5">
      <c r="A100" s="18">
        <v>71</v>
      </c>
      <c r="B100" s="4">
        <v>-0.2699889150048618</v>
      </c>
      <c r="C100" s="11">
        <v>120.61920848467275</v>
      </c>
      <c r="D100" s="4">
        <v>-1.9834856507491039</v>
      </c>
      <c r="E100" s="4">
        <f t="shared" si="28"/>
        <v>2.0017765462091663</v>
      </c>
      <c r="F100" s="84">
        <f t="shared" si="29"/>
        <v>0.5090528682627609</v>
      </c>
      <c r="G100" s="87">
        <f t="shared" si="30"/>
        <v>227.42250008894226</v>
      </c>
      <c r="H100" s="89">
        <f t="shared" si="31"/>
        <v>3.739779685598122</v>
      </c>
      <c r="I100" s="89">
        <f t="shared" si="32"/>
        <v>3.7742664081247534</v>
      </c>
      <c r="J100" s="57">
        <f>E100*E$29/E$30</f>
        <v>0.9437541983241033</v>
      </c>
      <c r="K100" s="11">
        <f>L$33*E$14/120*F100^2/E$8*E$7*E$10*(E$10-1)*E$5/E$6</f>
        <v>15.971238339790418</v>
      </c>
      <c r="L100" s="11">
        <f>L$34*E$14/6*F100^2/E$9*E$7*E$5/E$6*(1+(G100*E$5/F100)^2/15)</f>
        <v>782.891986996473</v>
      </c>
      <c r="M100" s="15">
        <f>L$35*E$14/8*H100^2/E$9*E$7*E$6/E$5</f>
        <v>173.04848714894086</v>
      </c>
      <c r="N100" s="11">
        <f>E$14*E$15*(E$12/E$11)^2*J100*(1-E$33)/E$34^2*(E$20/2/PI())^2/E$19*LN((E$18+E$19*J100)/(E$18+E$19*E$33*J100))</f>
        <v>14665.619282084395</v>
      </c>
      <c r="O100" s="11">
        <f t="shared" si="33"/>
        <v>16935.235404978528</v>
      </c>
      <c r="P100" s="11">
        <f t="shared" si="34"/>
        <v>19.285943284644254</v>
      </c>
      <c r="Q100" s="123">
        <f t="shared" si="35"/>
        <v>32592.052342832772</v>
      </c>
      <c r="R100" s="91">
        <f t="shared" si="36"/>
        <v>0.2571143467125938</v>
      </c>
      <c r="S100" s="28"/>
      <c r="T100" s="79">
        <f>SQRT(($B100-$C100*0.8*$E$5)^2+$D100^2)*$E$29/$E$30</f>
        <v>0.9979988794354097</v>
      </c>
      <c r="U100" s="80">
        <f>SQRT(($B100-$C100*0.4*$E$5)^2+$D100^2)*$E$29/$E$30</f>
        <v>0.9649303425133112</v>
      </c>
      <c r="V100" s="80">
        <f>SQRT(($B100)^2+$D100^2)*$E$29/$E$30</f>
        <v>0.9437541983241033</v>
      </c>
      <c r="W100" s="80">
        <f>SQRT(($B100+$C100*0.4*$E$5)^2+$D100^2)*$E$29/$E$30</f>
        <v>0.9352785821395028</v>
      </c>
      <c r="X100" s="81">
        <f>SQRT(($B100+$C100*0.8*$E$5)^2+$D100^2)*$E$29/$E$30</f>
        <v>0.9398471598969586</v>
      </c>
      <c r="Y100" s="82">
        <f>$L$36*$E$14*$E$15*$E$17/$E$34*2/3*$E$21/PI()*($E$22*$E$23*LN((T100+$E$23)/($E$33*T100+$E$23))+$E$24*T100*(1-$E$33)+$E$25*T100^2/2*(1-$E$33^2))</f>
        <v>17359.83783582065</v>
      </c>
      <c r="Z100" s="82">
        <f>$L$36*$E$14*$E$15*$E$17/$E$34*2/3*$E$21/PI()*($E$22*$E$23*LN((U100+$E$23)/($E$33*U100+$E$23))+$E$24*U100*(1-$E$33)+$E$25*U100^2/2*(1-$E$33^2))</f>
        <v>17024.583536663435</v>
      </c>
      <c r="AA100" s="82">
        <f>$L$36*$E$14*$E$15*$E$17/$E$34*2/3*$E$21/PI()*($E$22*$E$23*LN((V100+$E$23)/($E$33*V100+$E$23))+$E$24*V100*(1-$E$33)+$E$25*V100^2/2*(1-$E$33^2))</f>
        <v>16806.716733111945</v>
      </c>
      <c r="AB100" s="82">
        <f>$L$36*$E$14*$E$15*$E$17/$E$34*2/3*$E$21/PI()*($E$22*$E$23*LN((W100+$E$23)/($E$33*W100+$E$23))+$E$24*W100*(1-$E$33)+$E$25*W100^2/2*(1-$E$33^2))</f>
        <v>16718.798502096382</v>
      </c>
      <c r="AC100" s="82">
        <f>$L$36*$E$14*$E$15*$E$17/$E$34*2/3*$E$21/PI()*($E$22*$E$23*LN((X100+$E$23)/($E$33*X100+$E$23))+$E$24*X100*(1-$E$33)+$E$25*X100^2/2*(1-$E$33^2))</f>
        <v>16766.24041720023</v>
      </c>
      <c r="AD100" s="72">
        <f>1/9/PI()*$E$21/$E$34*$E$28^2*T100*(3*T100+4*$E$27)/($E$26*$E$27*$E$14*$E$15*$E$17*16*$E$5^2*$E$6^2)</f>
        <v>20.634760083780783</v>
      </c>
      <c r="AE100" s="73">
        <f>1/9/PI()*$E$21/$E$34*$E$28^2*U100*(3*U100+4*$E$27)/($E$26*$E$27*$E$14*$E$15*$E$17*16*$E$5^2*$E$6^2)</f>
        <v>19.554703840425095</v>
      </c>
      <c r="AF100" s="73">
        <f>1/9/PI()*$E$21/$E$34*$E$28^2*V100*(3*V100+4*$E$27)/($E$26*$E$27*$E$14*$E$15*$E$17*16*$E$5^2*$E$6^2)</f>
        <v>18.877334199732687</v>
      </c>
      <c r="AG100" s="73">
        <f>1/9/PI()*$E$21/$E$34*$E$28^2*W100*(3*W100+4*$E$27)/($E$26*$E$27*$E$14*$E$15*$E$17*16*$E$5^2*$E$6^2)</f>
        <v>18.6093428419788</v>
      </c>
      <c r="AH100" s="74">
        <f>1/9/PI()*$E$21/$E$34*$E$28^2*X100*(3*X100+4*$E$27)/($E$26*$E$27*$E$14*$E$15*$E$17*16*$E$5^2*$E$6^2)</f>
        <v>18.75357545730391</v>
      </c>
      <c r="AI100" s="28"/>
      <c r="BX100"/>
    </row>
    <row r="101" spans="1:77" ht="16.5">
      <c r="A101" s="18">
        <v>72</v>
      </c>
      <c r="B101" s="4">
        <v>-0.25583793143957845</v>
      </c>
      <c r="C101" s="11">
        <v>111.28668841819632</v>
      </c>
      <c r="D101" s="4">
        <v>-2.108555433516901</v>
      </c>
      <c r="E101" s="4">
        <f t="shared" si="28"/>
        <v>2.1240195534356383</v>
      </c>
      <c r="F101" s="84">
        <f t="shared" si="29"/>
        <v>0.48237177740198617</v>
      </c>
      <c r="G101" s="87">
        <f t="shared" si="30"/>
        <v>209.82642171708002</v>
      </c>
      <c r="H101" s="89">
        <f t="shared" si="31"/>
        <v>3.975593558363235</v>
      </c>
      <c r="I101" s="89">
        <f t="shared" si="32"/>
        <v>4.004750513194699</v>
      </c>
      <c r="J101" s="57">
        <f>E101*E$29/E$30</f>
        <v>1.0013866805830358</v>
      </c>
      <c r="K101" s="11">
        <f>L$33*E$14/120*F101^2/E$8*E$7*E$10*(E$10-1)*E$5/E$6</f>
        <v>14.34090614184612</v>
      </c>
      <c r="L101" s="11">
        <f>L$34*E$14/6*F101^2/E$9*E$7*E$5/E$6*(1+(G101*E$5/F101)^2/15)</f>
        <v>694.2225883886251</v>
      </c>
      <c r="M101" s="15">
        <f>L$35*E$14/8*H101^2/E$9*E$7*E$6/E$5</f>
        <v>195.55986418283098</v>
      </c>
      <c r="N101" s="11">
        <f>E$14*E$15*(E$12/E$11)^2*J101*(1-E$33)/E$34^2*(E$20/2/PI())^2/E$19*LN((E$18+E$19*J101)/(E$18+E$19*E$33*J101))</f>
        <v>16292.571883860192</v>
      </c>
      <c r="O101" s="11">
        <f t="shared" si="33"/>
        <v>17494.72407894574</v>
      </c>
      <c r="P101" s="11">
        <f t="shared" si="34"/>
        <v>21.09016768529356</v>
      </c>
      <c r="Q101" s="123">
        <f t="shared" si="35"/>
        <v>34712.50948920453</v>
      </c>
      <c r="R101" s="91">
        <f t="shared" si="36"/>
        <v>0.27384234985233225</v>
      </c>
      <c r="S101" s="28"/>
      <c r="T101" s="79">
        <f>SQRT(($B101-$C101*0.8*$E$5)^2+$D101^2)*$E$29/$E$30</f>
        <v>1.0458173731052733</v>
      </c>
      <c r="U101" s="80">
        <f>SQRT(($B101-$C101*0.4*$E$5)^2+$D101^2)*$E$29/$E$30</f>
        <v>1.0187394404432921</v>
      </c>
      <c r="V101" s="80">
        <f>SQRT(($B101)^2+$D101^2)*$E$29/$E$30</f>
        <v>1.0013866805830358</v>
      </c>
      <c r="W101" s="80">
        <f>SQRT(($B101+$C101*0.4*$E$5)^2+$D101^2)*$E$29/$E$30</f>
        <v>0.9942684182312198</v>
      </c>
      <c r="X101" s="81">
        <f>SQRT(($B101+$C101*0.8*$E$5)^2+$D101^2)*$E$29/$E$30</f>
        <v>0.9976037579336872</v>
      </c>
      <c r="Y101" s="82">
        <f>$L$36*$E$14*$E$15*$E$17/$E$34*2/3*$E$21/PI()*($E$22*$E$23*LN((T101+$E$23)/($E$33*T101+$E$23))+$E$24*T101*(1-$E$33)+$E$25*T101^2/2*(1-$E$33^2))</f>
        <v>17834.454206585768</v>
      </c>
      <c r="Z101" s="82">
        <f>$L$36*$E$14*$E$15*$E$17/$E$34*2/3*$E$21/PI()*($E$22*$E$23*LN((U101+$E$23)/($E$33*U101+$E$23))+$E$24*U101*(1-$E$33)+$E$25*U101^2/2*(1-$E$33^2))</f>
        <v>17567.13442259003</v>
      </c>
      <c r="AA101" s="82">
        <f>$L$36*$E$14*$E$15*$E$17/$E$34*2/3*$E$21/PI()*($E$22*$E$23*LN((V101+$E$23)/($E$33*V101+$E$23))+$E$24*V101*(1-$E$33)+$E$25*V101^2/2*(1-$E$33^2))</f>
        <v>17393.851909640784</v>
      </c>
      <c r="AB101" s="82">
        <f>$L$36*$E$14*$E$15*$E$17/$E$34*2/3*$E$21/PI()*($E$22*$E$23*LN((W101+$E$23)/($E$33*W101+$E$23))+$E$24*W101*(1-$E$33)+$E$25*W101^2/2*(1-$E$33^2))</f>
        <v>17322.313057103016</v>
      </c>
      <c r="AC101" s="82">
        <f>$L$36*$E$14*$E$15*$E$17/$E$34*2/3*$E$21/PI()*($E$22*$E$23*LN((X101+$E$23)/($E$33*X101+$E$23))+$E$24*X101*(1-$E$33)+$E$25*X101^2/2*(1-$E$33^2))</f>
        <v>17355.866798809107</v>
      </c>
      <c r="AD101" s="72">
        <f>1/9/PI()*$E$21/$E$34*$E$28^2*T101*(3*T101+4*$E$27)/($E$26*$E$27*$E$14*$E$15*$E$17*16*$E$5^2*$E$6^2)</f>
        <v>22.244608353984805</v>
      </c>
      <c r="AE101" s="73">
        <f>1/9/PI()*$E$21/$E$34*$E$28^2*U101*(3*U101+4*$E$27)/($E$26*$E$27*$E$14*$E$15*$E$17*16*$E$5^2*$E$6^2)</f>
        <v>21.32603229851894</v>
      </c>
      <c r="AF101" s="73">
        <f>1/9/PI()*$E$21/$E$34*$E$28^2*V101*(3*V101+4*$E$27)/($E$26*$E$27*$E$14*$E$15*$E$17*16*$E$5^2*$E$6^2)</f>
        <v>20.74694357277023</v>
      </c>
      <c r="AG101" s="73">
        <f>1/9/PI()*$E$21/$E$34*$E$28^2*W101*(3*W101+4*$E$27)/($E$26*$E$27*$E$14*$E$15*$E$17*16*$E$5^2*$E$6^2)</f>
        <v>20.511559587131334</v>
      </c>
      <c r="AH101" s="74">
        <f>1/9/PI()*$E$21/$E$34*$E$28^2*X101*(3*X101+4*$E$27)/($E$26*$E$27*$E$14*$E$15*$E$17*16*$E$5^2*$E$6^2)</f>
        <v>20.621694614062513</v>
      </c>
      <c r="AI101" s="28"/>
      <c r="BX101"/>
      <c r="BY101"/>
    </row>
    <row r="102" spans="1:77" ht="16.5">
      <c r="A102" s="53">
        <f>J27</f>
        <v>73.17120452647318</v>
      </c>
      <c r="B102" s="68">
        <v>-0.24045827362357386</v>
      </c>
      <c r="C102" s="53">
        <v>96.65180988093557</v>
      </c>
      <c r="D102" s="68">
        <v>-2.240046943380341</v>
      </c>
      <c r="E102" s="68">
        <f t="shared" si="28"/>
        <v>2.252915997080592</v>
      </c>
      <c r="F102" s="85">
        <f t="shared" si="29"/>
        <v>0.45337407235177724</v>
      </c>
      <c r="G102" s="53">
        <f t="shared" si="30"/>
        <v>182.23296701566926</v>
      </c>
      <c r="H102" s="68">
        <f t="shared" si="31"/>
        <v>4.223515330436655</v>
      </c>
      <c r="I102" s="68">
        <f t="shared" si="32"/>
        <v>4.247779395862534</v>
      </c>
      <c r="J102" s="58">
        <f>E102*E$29/E$30</f>
        <v>1.062155980767583</v>
      </c>
      <c r="K102" s="90">
        <f>L$33*E$14/120*F102^2/E$8*E$7*E$10*(E$10-1)*E$5/E$6</f>
        <v>12.668528507681394</v>
      </c>
      <c r="L102" s="53">
        <f>L$34*E$14/6*F102^2/E$9*E$7*E$5/E$6*(1+(G102*E$5/F102)^2/15)</f>
        <v>592.6587878916243</v>
      </c>
      <c r="M102" s="67">
        <f>L$35*E$14/8*H102^2/E$9*E$7*E$6/E$5</f>
        <v>220.71097044319106</v>
      </c>
      <c r="N102" s="11">
        <f>E$14*E$15*(E$12/E$11)^2*J102*(1-E$33)/E$34^2*(E$20/2/PI())^2/E$19*LN((E$18+E$19*J102)/(E$18+E$19*E$33*J102))</f>
        <v>18079.163062032316</v>
      </c>
      <c r="O102" s="53">
        <f t="shared" si="33"/>
        <v>18064.135677138307</v>
      </c>
      <c r="P102" s="126">
        <f t="shared" si="34"/>
        <v>23.063274932641168</v>
      </c>
      <c r="Q102" s="124">
        <f t="shared" si="35"/>
        <v>36992.40030094576</v>
      </c>
      <c r="R102" s="92">
        <f>Q102*J$29*(A102-A101)</f>
        <v>0.3417903962142497</v>
      </c>
      <c r="S102" s="52"/>
      <c r="T102" s="96">
        <f>SQRT(($B102-$C102*0.8*$E$5)^2+$D102^2)*$E$29/$E$30</f>
        <v>1.0953712087734098</v>
      </c>
      <c r="U102" s="97">
        <f>SQRT(($B102-$C102*0.4*$E$5)^2+$D102^2)*$E$29/$E$30</f>
        <v>1.075241198158654</v>
      </c>
      <c r="V102" s="97">
        <f>SQRT(($B102)^2+$D102^2)*$E$29/$E$30</f>
        <v>1.062155980767583</v>
      </c>
      <c r="W102" s="97">
        <f>SQRT(($B102+$C102*0.4*$E$5)^2+$D102^2)*$E$29/$E$30</f>
        <v>1.0563773780225454</v>
      </c>
      <c r="X102" s="98">
        <f>SQRT(($B102+$C102*0.8*$E$5)^2+$D102^2)*$E$29/$E$30</f>
        <v>1.0580251160393037</v>
      </c>
      <c r="Y102" s="76">
        <f>$L$36*$E$14*$E$15*$E$17/$E$34*2/3*$E$21/PI()*($E$22*$E$23*LN((T102+$E$23)/($E$33*T102+$E$23))+$E$24*T102*(1-$E$33)+$E$25*T102^2/2*(1-$E$33^2))</f>
        <v>18314.368269222556</v>
      </c>
      <c r="Z102" s="76">
        <f>$L$36*$E$14*$E$15*$E$17/$E$34*2/3*$E$21/PI()*($E$22*$E$23*LN((U102+$E$23)/($E$33*U102+$E$23))+$E$24*U102*(1-$E$33)+$E$25*U102^2/2*(1-$E$33^2))</f>
        <v>18120.827125782518</v>
      </c>
      <c r="AA102" s="76">
        <f>$L$36*$E$14*$E$15*$E$17/$E$34*2/3*$E$21/PI()*($E$22*$E$23*LN((V102+$E$23)/($E$33*V102+$E$23))+$E$24*V102*(1-$E$33)+$E$25*V102^2/2*(1-$E$33^2))</f>
        <v>17993.99019364233</v>
      </c>
      <c r="AB102" s="76">
        <f>$L$36*$E$14*$E$15*$E$17/$E$34*2/3*$E$21/PI()*($E$22*$E$23*LN((W102+$E$23)/($E$33*W102+$E$23))+$E$24*W102*(1-$E$33)+$E$25*W102^2/2*(1-$E$33^2))</f>
        <v>17937.71482544672</v>
      </c>
      <c r="AC102" s="76">
        <f>$L$36*$E$14*$E$15*$E$17/$E$34*2/3*$E$21/PI()*($E$22*$E$23*LN((X102+$E$23)/($E$33*X102+$E$23))+$E$24*X102*(1-$E$33)+$E$25*X102^2/2*(1-$E$33^2))</f>
        <v>17953.77797159741</v>
      </c>
      <c r="AD102" s="75">
        <f>1/9/PI()*$E$21/$E$34*$E$28^2*T102*(3*T102+4*$E$27)/($E$26*$E$27*$E$14*$E$15*$E$17*16*$E$5^2*$E$6^2)</f>
        <v>23.972809825562923</v>
      </c>
      <c r="AE102" s="76">
        <f>1/9/PI()*$E$21/$E$34*$E$28^2*U102*(3*U102+4*$E$27)/($E$26*$E$27*$E$14*$E$15*$E$17*16*$E$5^2*$E$6^2)</f>
        <v>23.263414311237227</v>
      </c>
      <c r="AF102" s="76">
        <f>1/9/PI()*$E$21/$E$34*$E$28^2*V102*(3*V102+4*$E$27)/($E$26*$E$27*$E$14*$E$15*$E$17*16*$E$5^2*$E$6^2)</f>
        <v>22.80768053275856</v>
      </c>
      <c r="AG102" s="76">
        <f>1/9/PI()*$E$21/$E$34*$E$28^2*W102*(3*W102+4*$E$27)/($E$26*$E$27*$E$14*$E$15*$E$17*16*$E$5^2*$E$6^2)</f>
        <v>22.607776475251335</v>
      </c>
      <c r="AH102" s="77">
        <f>1/9/PI()*$E$21/$E$34*$E$28^2*X102*(3*X102+4*$E$27)/($E$26*$E$27*$E$14*$E$15*$E$17*16*$E$5^2*$E$6^2)</f>
        <v>22.664693518395786</v>
      </c>
      <c r="AI102" s="28"/>
      <c r="BX102"/>
      <c r="BY102"/>
    </row>
    <row r="103" spans="2:34" ht="8.25" customHeight="1">
      <c r="B103" s="15"/>
      <c r="D103" s="2"/>
      <c r="E103" s="33"/>
      <c r="F103" s="33"/>
      <c r="G103" s="33"/>
      <c r="H103" s="33"/>
      <c r="I103" s="33"/>
      <c r="J103" s="33"/>
      <c r="L103" s="33"/>
      <c r="M103" s="33"/>
      <c r="N103" s="33"/>
      <c r="O103" s="33"/>
      <c r="P103" s="33"/>
      <c r="R103" s="2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28"/>
      <c r="AE103" s="28"/>
      <c r="AF103" s="28"/>
      <c r="AG103" s="28"/>
      <c r="AH103" s="28"/>
    </row>
    <row r="104" spans="1:76" ht="16.5">
      <c r="A104" s="5"/>
      <c r="B104" s="15"/>
      <c r="D104" s="2"/>
      <c r="E104" s="33"/>
      <c r="F104" s="33"/>
      <c r="G104" s="33"/>
      <c r="H104" s="33"/>
      <c r="I104" s="33"/>
      <c r="J104" s="103" t="s">
        <v>158</v>
      </c>
      <c r="K104" s="11">
        <f>SUM(K40:K102)</f>
        <v>5878.670961803395</v>
      </c>
      <c r="L104" s="18">
        <f>SUM(L40:L102)</f>
        <v>253074.66133077085</v>
      </c>
      <c r="M104" s="18">
        <f>SUM(M40:M102)</f>
        <v>3597.239435731718</v>
      </c>
      <c r="N104" s="18">
        <f>SUM(N40:N102)</f>
        <v>420925.99846691877</v>
      </c>
      <c r="O104" s="18">
        <f>SUM(P40:P102)</f>
        <v>674.5159508096608</v>
      </c>
      <c r="P104" s="18">
        <f>SUM(Q40:Q102)</f>
        <v>1463234.61470638</v>
      </c>
      <c r="Q104" s="4">
        <f>SUM(R40:R102)</f>
        <v>11.555461947133207</v>
      </c>
      <c r="R104" s="28"/>
      <c r="S104" s="31"/>
      <c r="T104" s="31"/>
      <c r="U104" s="31"/>
      <c r="V104" s="31"/>
      <c r="W104" s="31"/>
      <c r="X104" s="31"/>
      <c r="Y104" s="31"/>
      <c r="Z104" s="31"/>
      <c r="AA104" s="31"/>
      <c r="AB104" s="31" t="s">
        <v>148</v>
      </c>
      <c r="AC104" s="38">
        <f>SUM(AD40:AD102)/59</f>
        <v>17.466203757964426</v>
      </c>
      <c r="AD104" s="38">
        <f>SUM(AE40:AE102)/59</f>
        <v>13.289005275083648</v>
      </c>
      <c r="AE104" s="38">
        <f>SUM(AF40:AF102)/59</f>
        <v>10.184802358776249</v>
      </c>
      <c r="AF104" s="38">
        <f>SUM(AG40:AG102)/59</f>
        <v>8.270864654416432</v>
      </c>
      <c r="AG104" s="38">
        <f>SUM(AH40:AH102)/59</f>
        <v>7.951492666442384</v>
      </c>
      <c r="AH104" s="28"/>
      <c r="BX104"/>
    </row>
    <row r="105" spans="1:34" ht="16.5">
      <c r="A105" s="5"/>
      <c r="B105" s="15"/>
      <c r="D105" s="2"/>
      <c r="E105" s="33"/>
      <c r="F105" s="33"/>
      <c r="G105" s="33"/>
      <c r="H105" s="33"/>
      <c r="I105" s="33"/>
      <c r="J105" s="10" t="s">
        <v>159</v>
      </c>
      <c r="K105" s="11">
        <f aca="true" t="shared" si="37" ref="K105:P105">K104/$P$104</f>
        <v>0.004017586040351457</v>
      </c>
      <c r="L105" s="29">
        <f t="shared" si="37"/>
        <v>0.17295562774911122</v>
      </c>
      <c r="M105" s="29">
        <f t="shared" si="37"/>
        <v>0.0024584160322461738</v>
      </c>
      <c r="N105" s="29">
        <f t="shared" si="37"/>
        <v>0.28766815262320994</v>
      </c>
      <c r="O105" s="29">
        <f t="shared" si="37"/>
        <v>0.0004609759392173842</v>
      </c>
      <c r="P105" s="29">
        <f t="shared" si="37"/>
        <v>1</v>
      </c>
      <c r="R105" s="2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28"/>
      <c r="AE105" s="28"/>
      <c r="AF105" s="28"/>
      <c r="AG105" s="28"/>
      <c r="AH105" s="28"/>
    </row>
    <row r="106" spans="2:29" ht="5.25" customHeight="1">
      <c r="B106" s="15"/>
      <c r="E106" s="34"/>
      <c r="F106" s="34"/>
      <c r="G106" s="34"/>
      <c r="H106" s="34"/>
      <c r="I106" s="34"/>
      <c r="J106" s="33"/>
      <c r="L106" s="33"/>
      <c r="M106" s="33"/>
      <c r="N106" s="33"/>
      <c r="O106" s="33"/>
      <c r="P106" s="33"/>
      <c r="R106"/>
      <c r="AC106" s="30"/>
    </row>
    <row r="107" spans="2:29" ht="16.5">
      <c r="B107" s="15"/>
      <c r="E107" s="34"/>
      <c r="F107" s="34"/>
      <c r="G107" s="34"/>
      <c r="H107" s="34"/>
      <c r="I107" s="34"/>
      <c r="J107" s="34"/>
      <c r="L107" s="33"/>
      <c r="M107" s="33"/>
      <c r="N107" s="33"/>
      <c r="O107" s="33" t="s">
        <v>58</v>
      </c>
      <c r="P107" s="33">
        <f>MAX(Q40:Q102)</f>
        <v>36992.40030094576</v>
      </c>
      <c r="R107"/>
      <c r="AC107" s="30"/>
    </row>
    <row r="108" spans="2:29" ht="6" customHeight="1">
      <c r="B108" s="15"/>
      <c r="E108" s="34"/>
      <c r="F108" s="34"/>
      <c r="G108" s="34"/>
      <c r="H108" s="34"/>
      <c r="I108" s="34"/>
      <c r="J108" s="33"/>
      <c r="L108" s="33"/>
      <c r="M108" s="33"/>
      <c r="N108" s="33"/>
      <c r="O108" s="33"/>
      <c r="P108" s="33"/>
      <c r="R108"/>
      <c r="AC108" s="30"/>
    </row>
    <row r="109" spans="2:75" ht="16.5">
      <c r="B109" s="15"/>
      <c r="E109" s="34"/>
      <c r="F109" s="34"/>
      <c r="G109" s="34"/>
      <c r="H109" s="34"/>
      <c r="I109" s="34"/>
      <c r="J109" s="103" t="s">
        <v>161</v>
      </c>
      <c r="K109" s="11">
        <f>(SUM(K40:K55)+K56*($A56-$A55)+K58*($A59-$A58)+SUM(K59:K76)+K77*($A77-$A76)+K79*($A80-$A79)+SUM(K80:K92)+K93*($A93-$A92)+K95*($A96-$A95)+SUM(K96:K101)+K102*($A102-$A101))*$J$29</f>
        <v>0.046007865864180986</v>
      </c>
      <c r="L109" s="104">
        <f>(SUM(L40:L55)+L56*($A56-$A55)+L58*($A59-$A58)+SUM(L59:L76)+L77*($A77-$A76)+L79*($A80-$A79)+SUM(L80:L92)+L93*($A93-$A92)+L95*($A96-$A95)+SUM(L96:L101)+L102*($A102-$A101))*$J$29</f>
        <v>1.9810911717159518</v>
      </c>
      <c r="M109" s="104">
        <f>(SUM(M40:M55)+M56*($A56-$A55)+M58*($A59-$A58)+SUM(M59:M76)+M77*($A77-$A76)+M79*($A80-$A79)+SUM(M80:M92)+M93*($A93-$A92)+M95*($A96-$A95)+SUM(M96:M101)+M102*($A102-$A101))*$J$29</f>
        <v>0.028878218197250956</v>
      </c>
      <c r="N109" s="104">
        <f>(SUM(N40:N55)+N56*($A56-$A55)+N58*($A59-$A58)+SUM(N59:N76)+N77*($A77-$A76)+N79*($A80-$A79)+SUM(N80:N92)+N93*($A93-$A92)+N95*($A96-$A95)+SUM(N96:N101)+N102*($A102-$A101))*$J$29</f>
        <v>3.3524608623637655</v>
      </c>
      <c r="O109" s="104">
        <f>(SUM(O40:O55)+O56*($A56-$A55)+O58*($A59-$A58)+SUM(O59:O76)+O77*($A77-$A76)+O79*($A80-$A79)+SUM(O80:O92)+O93*($A93-$A92)+O95*($A96-$A95)+SUM(O96:O101)+O102*($A102-$A101))*$J$29</f>
        <v>6.141673740283935</v>
      </c>
      <c r="P109" s="104">
        <f>(SUM(P40:P55)+P56*($A56-$A55)+P58*($A59-$A58)+SUM(P59:P76)+P77*($A77-$A76)+P79*($A80-$A79)+SUM(P80:P92)+P93*($A93-$A92)+P95*($A96-$A95)+SUM(P96:P101)+P102*($A102-$A101))*$J$29</f>
        <v>0.005350088708122189</v>
      </c>
      <c r="Q109" s="4">
        <f>SUM(K109:P109)</f>
        <v>11.555461947133207</v>
      </c>
      <c r="R109"/>
      <c r="AC109" s="30"/>
      <c r="BW109" s="2"/>
    </row>
    <row r="110" spans="2:75" ht="16.5">
      <c r="B110" s="15"/>
      <c r="E110" s="34"/>
      <c r="F110" s="34"/>
      <c r="G110" s="34"/>
      <c r="H110" s="34"/>
      <c r="I110" s="34"/>
      <c r="J110" s="33"/>
      <c r="L110" s="33"/>
      <c r="M110" s="33"/>
      <c r="N110" s="33"/>
      <c r="O110" s="33"/>
      <c r="P110" s="33"/>
      <c r="R110"/>
      <c r="AC110" s="30"/>
      <c r="BW110" s="2"/>
    </row>
    <row r="111" spans="2:75" ht="16.5">
      <c r="B111" s="15"/>
      <c r="E111" s="34"/>
      <c r="F111" s="34"/>
      <c r="G111" s="34"/>
      <c r="H111" s="34"/>
      <c r="I111" s="34"/>
      <c r="J111" s="33"/>
      <c r="L111" s="33"/>
      <c r="M111" s="33"/>
      <c r="N111" s="33"/>
      <c r="O111" s="33"/>
      <c r="P111" s="2"/>
      <c r="Q111" s="40"/>
      <c r="BW111" s="2"/>
    </row>
    <row r="112" spans="2:75" ht="16.5">
      <c r="B112" s="4"/>
      <c r="E112" s="34"/>
      <c r="F112" s="34"/>
      <c r="G112" s="34"/>
      <c r="H112" s="34"/>
      <c r="I112" s="34"/>
      <c r="J112" s="33"/>
      <c r="L112" s="33"/>
      <c r="M112" s="33"/>
      <c r="N112" s="33"/>
      <c r="O112" s="33"/>
      <c r="P112" s="2"/>
      <c r="Q112" s="40"/>
      <c r="BW112" s="2"/>
    </row>
    <row r="113" spans="2:75" ht="16.5">
      <c r="B113" s="4"/>
      <c r="E113" s="34"/>
      <c r="F113" s="34"/>
      <c r="G113" s="34"/>
      <c r="H113" s="34"/>
      <c r="I113" s="34"/>
      <c r="J113" s="33"/>
      <c r="L113" s="33"/>
      <c r="M113" s="33"/>
      <c r="N113" s="33"/>
      <c r="O113" s="33"/>
      <c r="P113" s="2"/>
      <c r="Q113" s="40"/>
      <c r="BW113" s="2"/>
    </row>
    <row r="114" spans="2:17" ht="16.5">
      <c r="B114" s="4"/>
      <c r="E114" s="34"/>
      <c r="F114" s="34"/>
      <c r="G114" s="34"/>
      <c r="H114" s="34"/>
      <c r="I114" s="34"/>
      <c r="J114" s="33"/>
      <c r="L114" s="33"/>
      <c r="M114" s="33"/>
      <c r="N114" s="33"/>
      <c r="O114" s="33"/>
      <c r="P114" s="2"/>
      <c r="Q114" s="40"/>
    </row>
    <row r="115" spans="2:17" ht="16.5">
      <c r="B115" s="4"/>
      <c r="E115" s="34"/>
      <c r="F115" s="34"/>
      <c r="G115" s="34"/>
      <c r="H115" s="34"/>
      <c r="I115" s="34"/>
      <c r="J115" s="33"/>
      <c r="L115" s="33"/>
      <c r="M115" s="33"/>
      <c r="N115" s="33"/>
      <c r="O115" s="33"/>
      <c r="P115" s="2"/>
      <c r="Q115" s="40"/>
    </row>
    <row r="116" spans="2:17" ht="16.5">
      <c r="B116" s="4"/>
      <c r="E116" s="34"/>
      <c r="F116" s="34"/>
      <c r="G116" s="34"/>
      <c r="H116" s="34"/>
      <c r="I116" s="34"/>
      <c r="J116" s="33"/>
      <c r="L116" s="33"/>
      <c r="M116" s="33"/>
      <c r="N116" s="33"/>
      <c r="O116" s="33"/>
      <c r="P116" s="2"/>
      <c r="Q116" s="40"/>
    </row>
    <row r="117" spans="2:15" ht="16.5">
      <c r="B117" s="4"/>
      <c r="E117" s="34"/>
      <c r="F117" s="34"/>
      <c r="G117" s="34"/>
      <c r="H117" s="34"/>
      <c r="I117" s="34"/>
      <c r="J117" s="33"/>
      <c r="L117" s="33"/>
      <c r="M117" s="33"/>
      <c r="N117" s="33"/>
      <c r="O117" s="33"/>
    </row>
    <row r="118" spans="2:15" ht="16.5">
      <c r="B118" s="4"/>
      <c r="E118" s="34"/>
      <c r="F118" s="34"/>
      <c r="G118" s="34"/>
      <c r="H118" s="34"/>
      <c r="I118" s="34"/>
      <c r="J118" s="33"/>
      <c r="L118" s="33"/>
      <c r="M118" s="33"/>
      <c r="N118" s="33"/>
      <c r="O118" s="33"/>
    </row>
    <row r="119" spans="2:15" ht="16.5">
      <c r="B119" s="4"/>
      <c r="E119" s="34"/>
      <c r="F119" s="34"/>
      <c r="G119" s="34"/>
      <c r="H119" s="34"/>
      <c r="I119" s="34"/>
      <c r="J119" s="33"/>
      <c r="L119" s="33"/>
      <c r="M119" s="33"/>
      <c r="N119" s="33"/>
      <c r="O119" s="33"/>
    </row>
    <row r="120" spans="2:15" ht="16.5">
      <c r="B120" s="4"/>
      <c r="E120" s="34"/>
      <c r="F120" s="34"/>
      <c r="G120" s="34"/>
      <c r="H120" s="34"/>
      <c r="I120" s="34"/>
      <c r="J120" s="33"/>
      <c r="L120" s="33"/>
      <c r="M120" s="33"/>
      <c r="N120" s="33"/>
      <c r="O120" s="33"/>
    </row>
    <row r="121" spans="2:15" ht="16.5">
      <c r="B121" s="4"/>
      <c r="E121" s="34"/>
      <c r="F121" s="34"/>
      <c r="G121" s="34"/>
      <c r="H121" s="34"/>
      <c r="I121" s="34"/>
      <c r="J121" s="33"/>
      <c r="L121" s="33"/>
      <c r="M121" s="33"/>
      <c r="N121" s="33"/>
      <c r="O121" s="33"/>
    </row>
    <row r="122" spans="2:15" ht="16.5">
      <c r="B122" s="4"/>
      <c r="E122" s="34"/>
      <c r="F122" s="34"/>
      <c r="G122" s="34"/>
      <c r="H122" s="34"/>
      <c r="I122" s="34"/>
      <c r="J122" s="33"/>
      <c r="L122" s="33"/>
      <c r="M122" s="33"/>
      <c r="N122" s="33"/>
      <c r="O122" s="33"/>
    </row>
    <row r="123" spans="2:15" ht="16.5">
      <c r="B123" s="4"/>
      <c r="E123" s="34"/>
      <c r="F123" s="34"/>
      <c r="G123" s="34"/>
      <c r="H123" s="34"/>
      <c r="I123" s="34"/>
      <c r="J123" s="33"/>
      <c r="L123" s="33"/>
      <c r="M123" s="33"/>
      <c r="N123" s="33"/>
      <c r="O123" s="33"/>
    </row>
    <row r="124" spans="2:15" ht="16.5">
      <c r="B124" s="4"/>
      <c r="E124" s="33"/>
      <c r="F124" s="34"/>
      <c r="G124" s="33"/>
      <c r="H124" s="33"/>
      <c r="I124" s="33"/>
      <c r="J124" s="33"/>
      <c r="L124" s="33"/>
      <c r="M124" s="33"/>
      <c r="N124" s="33"/>
      <c r="O124" s="33"/>
    </row>
    <row r="125" spans="2:15" ht="16.5">
      <c r="B125" s="4"/>
      <c r="E125" s="33"/>
      <c r="F125" s="34"/>
      <c r="G125" s="33"/>
      <c r="H125" s="33"/>
      <c r="I125" s="33"/>
      <c r="J125" s="33"/>
      <c r="L125" s="33"/>
      <c r="M125" s="33"/>
      <c r="N125" s="33"/>
      <c r="O125" s="33"/>
    </row>
    <row r="126" spans="2:15" ht="16.5">
      <c r="B126" s="4"/>
      <c r="E126" s="33"/>
      <c r="F126" s="34"/>
      <c r="G126" s="33"/>
      <c r="H126" s="33"/>
      <c r="I126" s="33"/>
      <c r="J126" s="33"/>
      <c r="L126" s="33"/>
      <c r="M126" s="33"/>
      <c r="N126" s="33"/>
      <c r="O126" s="33"/>
    </row>
    <row r="127" spans="2:15" ht="16.5">
      <c r="B127" s="4"/>
      <c r="E127" s="33"/>
      <c r="F127" s="34"/>
      <c r="G127" s="33"/>
      <c r="H127" s="33"/>
      <c r="I127" s="33"/>
      <c r="J127" s="33"/>
      <c r="L127" s="33"/>
      <c r="M127" s="33"/>
      <c r="N127" s="33"/>
      <c r="O127" s="33"/>
    </row>
    <row r="128" spans="2:15" ht="16.5">
      <c r="B128" s="4"/>
      <c r="E128" s="33"/>
      <c r="F128" s="34"/>
      <c r="G128" s="33"/>
      <c r="H128" s="33"/>
      <c r="I128" s="33"/>
      <c r="J128" s="33"/>
      <c r="L128" s="33"/>
      <c r="M128" s="33"/>
      <c r="N128" s="33"/>
      <c r="O128" s="33"/>
    </row>
    <row r="129" spans="2:15" ht="16.5">
      <c r="B129" s="4"/>
      <c r="E129" s="33"/>
      <c r="F129" s="34"/>
      <c r="G129" s="33"/>
      <c r="H129" s="33"/>
      <c r="I129" s="33"/>
      <c r="J129" s="33"/>
      <c r="L129" s="33"/>
      <c r="M129" s="33"/>
      <c r="N129" s="33"/>
      <c r="O129" s="33"/>
    </row>
    <row r="130" spans="2:15" ht="16.5">
      <c r="B130" s="4"/>
      <c r="E130" s="33"/>
      <c r="F130" s="34"/>
      <c r="G130" s="33"/>
      <c r="H130" s="33"/>
      <c r="I130" s="33"/>
      <c r="J130" s="33"/>
      <c r="L130" s="33"/>
      <c r="M130" s="33"/>
      <c r="N130" s="33"/>
      <c r="O130" s="33"/>
    </row>
    <row r="131" spans="2:15" ht="16.5">
      <c r="B131" s="4"/>
      <c r="E131" s="33"/>
      <c r="F131" s="34"/>
      <c r="G131" s="33"/>
      <c r="H131" s="33"/>
      <c r="I131" s="33"/>
      <c r="J131" s="33"/>
      <c r="L131" s="33"/>
      <c r="M131" s="33"/>
      <c r="N131" s="33"/>
      <c r="O131" s="33"/>
    </row>
    <row r="132" spans="2:15" ht="16.5">
      <c r="B132" s="4"/>
      <c r="E132" s="33"/>
      <c r="F132" s="34"/>
      <c r="G132" s="33"/>
      <c r="H132" s="33"/>
      <c r="I132" s="33"/>
      <c r="J132" s="33"/>
      <c r="L132" s="33"/>
      <c r="M132" s="33"/>
      <c r="N132" s="33"/>
      <c r="O132" s="33"/>
    </row>
    <row r="133" spans="2:15" ht="16.5">
      <c r="B133" s="4"/>
      <c r="E133" s="33"/>
      <c r="F133" s="34"/>
      <c r="G133" s="33"/>
      <c r="H133" s="33"/>
      <c r="I133" s="33"/>
      <c r="J133" s="33"/>
      <c r="L133" s="33"/>
      <c r="M133" s="33"/>
      <c r="N133" s="33"/>
      <c r="O133" s="33"/>
    </row>
    <row r="134" spans="2:15" ht="16.5">
      <c r="B134" s="4"/>
      <c r="E134" s="33"/>
      <c r="F134" s="34"/>
      <c r="G134" s="33"/>
      <c r="H134" s="33"/>
      <c r="I134" s="33"/>
      <c r="J134" s="33"/>
      <c r="L134" s="33"/>
      <c r="M134" s="33"/>
      <c r="N134" s="33"/>
      <c r="O134" s="33"/>
    </row>
    <row r="135" spans="2:15" ht="16.5">
      <c r="B135" s="4"/>
      <c r="E135" s="33"/>
      <c r="F135" s="34"/>
      <c r="G135" s="33"/>
      <c r="H135" s="33"/>
      <c r="I135" s="33"/>
      <c r="J135" s="33"/>
      <c r="L135" s="33"/>
      <c r="M135" s="33"/>
      <c r="N135" s="33"/>
      <c r="O135" s="33"/>
    </row>
    <row r="136" spans="2:15" ht="16.5">
      <c r="B136" s="4"/>
      <c r="E136" s="33"/>
      <c r="F136" s="34"/>
      <c r="G136" s="33"/>
      <c r="H136" s="33"/>
      <c r="I136" s="33"/>
      <c r="J136" s="33"/>
      <c r="L136" s="33"/>
      <c r="M136" s="33"/>
      <c r="N136" s="33"/>
      <c r="O136" s="33"/>
    </row>
    <row r="137" spans="2:15" ht="16.5">
      <c r="B137" s="4"/>
      <c r="E137" s="33"/>
      <c r="F137" s="34"/>
      <c r="G137" s="33"/>
      <c r="H137" s="33"/>
      <c r="I137" s="33"/>
      <c r="J137" s="33"/>
      <c r="L137" s="33"/>
      <c r="M137" s="33"/>
      <c r="N137" s="33"/>
      <c r="O137" s="33"/>
    </row>
    <row r="138" spans="2:15" ht="16.5">
      <c r="B138" s="4"/>
      <c r="E138" s="33"/>
      <c r="F138" s="34"/>
      <c r="G138" s="33"/>
      <c r="H138" s="33"/>
      <c r="I138" s="33"/>
      <c r="J138" s="33"/>
      <c r="L138" s="33"/>
      <c r="M138" s="33"/>
      <c r="N138" s="33"/>
      <c r="O138" s="33"/>
    </row>
    <row r="139" spans="2:15" ht="16.5">
      <c r="B139" s="4"/>
      <c r="E139" s="33"/>
      <c r="F139" s="34"/>
      <c r="G139" s="33"/>
      <c r="H139" s="33"/>
      <c r="I139" s="33"/>
      <c r="J139" s="33"/>
      <c r="L139" s="33"/>
      <c r="M139" s="33"/>
      <c r="N139" s="33"/>
      <c r="O139" s="33"/>
    </row>
    <row r="140" spans="2:15" ht="16.5">
      <c r="B140" s="4"/>
      <c r="E140" s="33"/>
      <c r="F140" s="34"/>
      <c r="G140" s="33"/>
      <c r="H140" s="33"/>
      <c r="I140" s="33"/>
      <c r="J140" s="33"/>
      <c r="L140" s="33"/>
      <c r="M140" s="33"/>
      <c r="N140" s="33"/>
      <c r="O140" s="33"/>
    </row>
    <row r="141" spans="2:15" ht="16.5">
      <c r="B141" s="4"/>
      <c r="E141" s="33"/>
      <c r="F141" s="34"/>
      <c r="G141" s="33"/>
      <c r="H141" s="33"/>
      <c r="I141" s="33"/>
      <c r="J141" s="33"/>
      <c r="L141" s="33"/>
      <c r="M141" s="33"/>
      <c r="N141" s="33"/>
      <c r="O141" s="33"/>
    </row>
    <row r="142" spans="2:15" ht="16.5">
      <c r="B142" s="4"/>
      <c r="E142" s="33"/>
      <c r="F142" s="34"/>
      <c r="G142" s="33"/>
      <c r="H142" s="33"/>
      <c r="I142" s="33"/>
      <c r="J142" s="33"/>
      <c r="L142" s="33"/>
      <c r="M142" s="33"/>
      <c r="N142" s="33"/>
      <c r="O142" s="33"/>
    </row>
    <row r="143" spans="2:15" ht="16.5">
      <c r="B143" s="4"/>
      <c r="E143" s="33"/>
      <c r="F143" s="34"/>
      <c r="G143" s="33"/>
      <c r="H143" s="33"/>
      <c r="I143" s="33"/>
      <c r="J143" s="33"/>
      <c r="L143" s="33"/>
      <c r="M143" s="33"/>
      <c r="N143" s="33"/>
      <c r="O143" s="33"/>
    </row>
    <row r="144" spans="2:15" ht="16.5">
      <c r="B144" s="4"/>
      <c r="E144" s="33"/>
      <c r="F144" s="34"/>
      <c r="G144" s="33"/>
      <c r="H144" s="33"/>
      <c r="I144" s="33"/>
      <c r="J144" s="33"/>
      <c r="L144" s="33"/>
      <c r="M144" s="33"/>
      <c r="N144" s="33"/>
      <c r="O144" s="33"/>
    </row>
    <row r="145" spans="2:15" ht="16.5">
      <c r="B145" s="4"/>
      <c r="E145" s="33"/>
      <c r="F145" s="34"/>
      <c r="G145" s="33"/>
      <c r="H145" s="33"/>
      <c r="I145" s="33"/>
      <c r="J145" s="33"/>
      <c r="L145" s="33"/>
      <c r="M145" s="33"/>
      <c r="N145" s="33"/>
      <c r="O145" s="33"/>
    </row>
    <row r="146" spans="2:15" ht="16.5">
      <c r="B146" s="4"/>
      <c r="E146" s="33"/>
      <c r="F146" s="34"/>
      <c r="G146" s="33"/>
      <c r="H146" s="33"/>
      <c r="I146" s="33"/>
      <c r="J146" s="33"/>
      <c r="L146" s="33"/>
      <c r="M146" s="33"/>
      <c r="N146" s="33"/>
      <c r="O146" s="33"/>
    </row>
    <row r="147" spans="2:15" ht="16.5">
      <c r="B147" s="4"/>
      <c r="E147" s="33"/>
      <c r="F147" s="34"/>
      <c r="G147" s="33"/>
      <c r="H147" s="33"/>
      <c r="I147" s="33"/>
      <c r="J147" s="33"/>
      <c r="L147" s="33"/>
      <c r="M147" s="33"/>
      <c r="N147" s="33"/>
      <c r="O147" s="33"/>
    </row>
    <row r="148" spans="2:15" ht="16.5">
      <c r="B148" s="4"/>
      <c r="E148" s="33"/>
      <c r="F148" s="34"/>
      <c r="G148" s="33"/>
      <c r="H148" s="33"/>
      <c r="I148" s="33"/>
      <c r="J148" s="33"/>
      <c r="L148" s="33"/>
      <c r="M148" s="33"/>
      <c r="N148" s="33"/>
      <c r="O148" s="33"/>
    </row>
    <row r="149" spans="2:15" ht="16.5">
      <c r="B149" s="4"/>
      <c r="E149" s="33"/>
      <c r="F149" s="34"/>
      <c r="G149" s="33"/>
      <c r="H149" s="33"/>
      <c r="I149" s="33"/>
      <c r="J149" s="33"/>
      <c r="L149" s="33"/>
      <c r="M149" s="33"/>
      <c r="N149" s="33"/>
      <c r="O149" s="33"/>
    </row>
    <row r="150" spans="2:15" ht="16.5">
      <c r="B150" s="4"/>
      <c r="E150" s="33"/>
      <c r="F150" s="34"/>
      <c r="G150" s="33"/>
      <c r="H150" s="33"/>
      <c r="I150" s="33"/>
      <c r="J150" s="33"/>
      <c r="L150" s="33"/>
      <c r="M150" s="33"/>
      <c r="N150" s="33"/>
      <c r="O150" s="33"/>
    </row>
    <row r="151" spans="2:15" ht="16.5">
      <c r="B151" s="4"/>
      <c r="E151" s="33"/>
      <c r="F151" s="34"/>
      <c r="G151" s="33"/>
      <c r="H151" s="33"/>
      <c r="I151" s="33"/>
      <c r="J151" s="33"/>
      <c r="L151" s="33"/>
      <c r="M151" s="33"/>
      <c r="N151" s="33"/>
      <c r="O151" s="33"/>
    </row>
    <row r="152" spans="2:15" ht="16.5">
      <c r="B152" s="4"/>
      <c r="E152" s="33"/>
      <c r="F152" s="34"/>
      <c r="G152" s="33"/>
      <c r="H152" s="33"/>
      <c r="I152" s="33"/>
      <c r="J152" s="33"/>
      <c r="L152" s="33"/>
      <c r="M152" s="33"/>
      <c r="N152" s="33"/>
      <c r="O152" s="33"/>
    </row>
    <row r="153" spans="2:15" ht="16.5">
      <c r="B153" s="4"/>
      <c r="E153" s="33"/>
      <c r="F153" s="34"/>
      <c r="G153" s="33"/>
      <c r="H153" s="33"/>
      <c r="I153" s="33"/>
      <c r="J153" s="33"/>
      <c r="L153" s="33"/>
      <c r="M153" s="33"/>
      <c r="N153" s="33"/>
      <c r="O153" s="33"/>
    </row>
    <row r="154" spans="2:15" ht="16.5">
      <c r="B154" s="4"/>
      <c r="E154" s="33"/>
      <c r="F154" s="34"/>
      <c r="G154" s="33"/>
      <c r="H154" s="33"/>
      <c r="I154" s="33"/>
      <c r="J154" s="33"/>
      <c r="L154" s="33"/>
      <c r="M154" s="33"/>
      <c r="N154" s="33"/>
      <c r="O154" s="33"/>
    </row>
    <row r="155" spans="2:15" ht="16.5">
      <c r="B155" s="4"/>
      <c r="E155" s="33"/>
      <c r="F155" s="34"/>
      <c r="G155" s="33"/>
      <c r="H155" s="33"/>
      <c r="I155" s="33"/>
      <c r="J155" s="33"/>
      <c r="L155" s="33"/>
      <c r="M155" s="33"/>
      <c r="N155" s="33"/>
      <c r="O155" s="33"/>
    </row>
    <row r="156" spans="2:15" ht="16.5">
      <c r="B156" s="4"/>
      <c r="E156" s="33"/>
      <c r="F156" s="34"/>
      <c r="G156" s="33"/>
      <c r="H156" s="33"/>
      <c r="I156" s="33"/>
      <c r="J156" s="33"/>
      <c r="L156" s="33"/>
      <c r="M156" s="33"/>
      <c r="N156" s="33"/>
      <c r="O156" s="33"/>
    </row>
    <row r="157" spans="2:15" ht="16.5">
      <c r="B157" s="4"/>
      <c r="E157" s="33"/>
      <c r="F157" s="34"/>
      <c r="G157" s="33"/>
      <c r="H157" s="33"/>
      <c r="I157" s="33"/>
      <c r="J157" s="33"/>
      <c r="L157" s="33"/>
      <c r="M157" s="33"/>
      <c r="N157" s="33"/>
      <c r="O157" s="33"/>
    </row>
    <row r="158" spans="2:15" ht="16.5">
      <c r="B158" s="4"/>
      <c r="E158" s="33"/>
      <c r="F158" s="34"/>
      <c r="G158" s="33"/>
      <c r="H158" s="33"/>
      <c r="I158" s="33"/>
      <c r="J158" s="33"/>
      <c r="L158" s="33"/>
      <c r="M158" s="33"/>
      <c r="N158" s="33"/>
      <c r="O158" s="33"/>
    </row>
    <row r="159" spans="2:15" ht="16.5">
      <c r="B159" s="4"/>
      <c r="E159" s="33"/>
      <c r="F159" s="34"/>
      <c r="G159" s="33"/>
      <c r="H159" s="33"/>
      <c r="I159" s="33"/>
      <c r="J159" s="33"/>
      <c r="L159" s="33"/>
      <c r="M159" s="33"/>
      <c r="N159" s="33"/>
      <c r="O159" s="33"/>
    </row>
    <row r="160" spans="2:15" ht="16.5">
      <c r="B160" s="4"/>
      <c r="E160" s="33"/>
      <c r="F160" s="34"/>
      <c r="G160" s="33"/>
      <c r="H160" s="33"/>
      <c r="I160" s="33"/>
      <c r="J160" s="33"/>
      <c r="L160" s="33"/>
      <c r="M160" s="33"/>
      <c r="N160" s="33"/>
      <c r="O160" s="33"/>
    </row>
    <row r="161" spans="2:15" ht="16.5">
      <c r="B161" s="4"/>
      <c r="E161" s="33"/>
      <c r="F161" s="34"/>
      <c r="G161" s="33"/>
      <c r="H161" s="33"/>
      <c r="I161" s="33"/>
      <c r="J161" s="33"/>
      <c r="L161" s="33"/>
      <c r="M161" s="33"/>
      <c r="N161" s="33"/>
      <c r="O161" s="33"/>
    </row>
    <row r="162" spans="2:15" ht="16.5">
      <c r="B162" s="4"/>
      <c r="E162" s="33"/>
      <c r="F162" s="34"/>
      <c r="G162" s="33"/>
      <c r="H162" s="33"/>
      <c r="I162" s="33"/>
      <c r="J162" s="33"/>
      <c r="L162" s="33"/>
      <c r="M162" s="33"/>
      <c r="N162" s="33"/>
      <c r="O162" s="33"/>
    </row>
    <row r="163" spans="5:15" ht="16.5">
      <c r="E163" s="33"/>
      <c r="F163" s="34"/>
      <c r="G163" s="33"/>
      <c r="H163" s="33"/>
      <c r="I163" s="33"/>
      <c r="J163" s="33"/>
      <c r="L163" s="33"/>
      <c r="M163" s="33"/>
      <c r="N163" s="33"/>
      <c r="O163" s="33"/>
    </row>
    <row r="164" spans="5:15" ht="16.5">
      <c r="E164" s="33"/>
      <c r="F164" s="34"/>
      <c r="G164" s="33"/>
      <c r="H164" s="33"/>
      <c r="I164" s="33"/>
      <c r="J164" s="33"/>
      <c r="L164" s="33"/>
      <c r="M164" s="33"/>
      <c r="N164" s="33"/>
      <c r="O164" s="33"/>
    </row>
    <row r="165" spans="5:15" ht="16.5">
      <c r="E165" s="33"/>
      <c r="F165" s="34"/>
      <c r="G165" s="33"/>
      <c r="H165" s="33"/>
      <c r="I165" s="33"/>
      <c r="J165" s="33"/>
      <c r="L165" s="33"/>
      <c r="M165" s="33"/>
      <c r="N165" s="33"/>
      <c r="O165" s="33"/>
    </row>
    <row r="166" spans="5:15" ht="16.5">
      <c r="E166" s="33"/>
      <c r="F166" s="34"/>
      <c r="G166" s="33"/>
      <c r="H166" s="33"/>
      <c r="I166" s="33"/>
      <c r="J166" s="33"/>
      <c r="L166" s="33"/>
      <c r="M166" s="33"/>
      <c r="N166" s="33"/>
      <c r="O166" s="33"/>
    </row>
    <row r="167" spans="5:15" ht="16.5">
      <c r="E167" s="33"/>
      <c r="F167" s="34"/>
      <c r="G167" s="33"/>
      <c r="H167" s="33"/>
      <c r="I167" s="33"/>
      <c r="J167" s="33"/>
      <c r="L167" s="33"/>
      <c r="M167" s="33"/>
      <c r="N167" s="33"/>
      <c r="O167" s="33"/>
    </row>
    <row r="168" spans="5:15" ht="16.5">
      <c r="E168" s="33"/>
      <c r="F168" s="34"/>
      <c r="G168" s="33"/>
      <c r="H168" s="33"/>
      <c r="I168" s="33"/>
      <c r="J168" s="33"/>
      <c r="L168" s="33"/>
      <c r="M168" s="33"/>
      <c r="N168" s="33"/>
      <c r="O168" s="33"/>
    </row>
    <row r="169" spans="5:15" ht="16.5">
      <c r="E169" s="33"/>
      <c r="F169" s="34"/>
      <c r="G169" s="33"/>
      <c r="H169" s="33"/>
      <c r="I169" s="33"/>
      <c r="J169" s="33"/>
      <c r="L169" s="33"/>
      <c r="M169" s="33"/>
      <c r="N169" s="33"/>
      <c r="O169" s="33"/>
    </row>
    <row r="170" spans="5:15" ht="16.5">
      <c r="E170" s="33"/>
      <c r="F170" s="34"/>
      <c r="G170" s="33"/>
      <c r="H170" s="33"/>
      <c r="I170" s="33"/>
      <c r="J170" s="33"/>
      <c r="L170" s="33"/>
      <c r="M170" s="33"/>
      <c r="N170" s="33"/>
      <c r="O170" s="33"/>
    </row>
    <row r="171" spans="5:15" ht="16.5">
      <c r="E171" s="33"/>
      <c r="F171" s="34"/>
      <c r="G171" s="33"/>
      <c r="H171" s="33"/>
      <c r="I171" s="33"/>
      <c r="J171" s="33"/>
      <c r="L171" s="33"/>
      <c r="M171" s="33"/>
      <c r="N171" s="33"/>
      <c r="O171" s="33"/>
    </row>
    <row r="172" spans="5:15" ht="16.5">
      <c r="E172" s="33"/>
      <c r="F172" s="34"/>
      <c r="G172" s="33"/>
      <c r="H172" s="33"/>
      <c r="I172" s="33"/>
      <c r="J172" s="33"/>
      <c r="L172" s="33"/>
      <c r="M172" s="33"/>
      <c r="N172" s="33"/>
      <c r="O172" s="33"/>
    </row>
    <row r="173" spans="5:15" ht="16.5">
      <c r="E173" s="33"/>
      <c r="F173" s="34"/>
      <c r="G173" s="33"/>
      <c r="H173" s="33"/>
      <c r="I173" s="33"/>
      <c r="J173" s="33"/>
      <c r="L173" s="33"/>
      <c r="M173" s="33"/>
      <c r="N173" s="33"/>
      <c r="O173" s="33"/>
    </row>
    <row r="174" spans="5:15" ht="16.5">
      <c r="E174" s="33"/>
      <c r="F174" s="34"/>
      <c r="G174" s="33"/>
      <c r="H174" s="33"/>
      <c r="I174" s="33"/>
      <c r="J174" s="33"/>
      <c r="L174" s="33"/>
      <c r="M174" s="33"/>
      <c r="N174" s="33"/>
      <c r="O174" s="33"/>
    </row>
    <row r="175" spans="5:15" ht="16.5">
      <c r="E175" s="33"/>
      <c r="F175" s="34"/>
      <c r="G175" s="33"/>
      <c r="H175" s="33"/>
      <c r="I175" s="33"/>
      <c r="J175" s="33"/>
      <c r="L175" s="33"/>
      <c r="M175" s="33"/>
      <c r="N175" s="33"/>
      <c r="O175" s="33"/>
    </row>
    <row r="176" spans="5:15" ht="16.5">
      <c r="E176" s="33"/>
      <c r="F176" s="34"/>
      <c r="G176" s="33"/>
      <c r="H176" s="33"/>
      <c r="I176" s="33"/>
      <c r="J176" s="33"/>
      <c r="L176" s="33"/>
      <c r="M176" s="33"/>
      <c r="N176" s="33"/>
      <c r="O176" s="33"/>
    </row>
    <row r="177" spans="5:15" ht="16.5">
      <c r="E177" s="33"/>
      <c r="F177" s="34"/>
      <c r="G177" s="33"/>
      <c r="H177" s="33"/>
      <c r="I177" s="33"/>
      <c r="J177" s="33"/>
      <c r="L177" s="33"/>
      <c r="M177" s="33"/>
      <c r="N177" s="33"/>
      <c r="O177" s="33"/>
    </row>
    <row r="178" spans="5:15" ht="16.5">
      <c r="E178" s="33"/>
      <c r="F178" s="34"/>
      <c r="G178" s="33"/>
      <c r="H178" s="33"/>
      <c r="I178" s="33"/>
      <c r="J178" s="33"/>
      <c r="L178" s="33"/>
      <c r="M178" s="33"/>
      <c r="N178" s="33"/>
      <c r="O178" s="33"/>
    </row>
    <row r="179" spans="5:15" ht="16.5">
      <c r="E179" s="33"/>
      <c r="F179" s="34"/>
      <c r="G179" s="33"/>
      <c r="H179" s="33"/>
      <c r="I179" s="33"/>
      <c r="J179" s="33"/>
      <c r="L179" s="33"/>
      <c r="M179" s="33"/>
      <c r="N179" s="33"/>
      <c r="O179" s="33"/>
    </row>
    <row r="180" spans="5:15" ht="16.5">
      <c r="E180" s="33"/>
      <c r="F180" s="34"/>
      <c r="G180" s="33"/>
      <c r="H180" s="33"/>
      <c r="I180" s="33"/>
      <c r="J180" s="33"/>
      <c r="L180" s="33"/>
      <c r="M180" s="33"/>
      <c r="N180" s="33"/>
      <c r="O180" s="33"/>
    </row>
    <row r="181" spans="5:15" ht="16.5">
      <c r="E181" s="33"/>
      <c r="F181" s="34"/>
      <c r="G181" s="33"/>
      <c r="H181" s="33"/>
      <c r="I181" s="33"/>
      <c r="J181" s="33"/>
      <c r="L181" s="33"/>
      <c r="M181" s="33"/>
      <c r="N181" s="33"/>
      <c r="O181" s="33"/>
    </row>
    <row r="182" spans="5:15" ht="16.5">
      <c r="E182" s="33"/>
      <c r="F182" s="34"/>
      <c r="G182" s="33"/>
      <c r="H182" s="33"/>
      <c r="I182" s="33"/>
      <c r="J182" s="33"/>
      <c r="L182" s="33"/>
      <c r="M182" s="33"/>
      <c r="N182" s="33"/>
      <c r="O182" s="33"/>
    </row>
    <row r="183" spans="5:15" ht="16.5">
      <c r="E183" s="33"/>
      <c r="F183" s="34"/>
      <c r="G183" s="33"/>
      <c r="H183" s="33"/>
      <c r="I183" s="33"/>
      <c r="J183" s="33"/>
      <c r="L183" s="33"/>
      <c r="M183" s="33"/>
      <c r="N183" s="33"/>
      <c r="O183" s="33"/>
    </row>
    <row r="184" spans="5:15" ht="16.5">
      <c r="E184" s="33"/>
      <c r="F184" s="34"/>
      <c r="G184" s="33"/>
      <c r="H184" s="33"/>
      <c r="I184" s="33"/>
      <c r="J184" s="33"/>
      <c r="L184" s="33"/>
      <c r="M184" s="33"/>
      <c r="N184" s="33"/>
      <c r="O184" s="33"/>
    </row>
    <row r="185" spans="5:15" ht="16.5">
      <c r="E185" s="33"/>
      <c r="F185" s="34"/>
      <c r="G185" s="33"/>
      <c r="H185" s="33"/>
      <c r="I185" s="33"/>
      <c r="J185" s="33"/>
      <c r="L185" s="33"/>
      <c r="M185" s="33"/>
      <c r="N185" s="33"/>
      <c r="O185" s="33"/>
    </row>
    <row r="186" spans="5:15" ht="16.5">
      <c r="E186" s="33"/>
      <c r="F186" s="34"/>
      <c r="G186" s="33"/>
      <c r="H186" s="33"/>
      <c r="I186" s="33"/>
      <c r="J186" s="33"/>
      <c r="L186" s="33"/>
      <c r="M186" s="33"/>
      <c r="N186" s="33"/>
      <c r="O186" s="33"/>
    </row>
    <row r="187" spans="5:15" ht="16.5">
      <c r="E187" s="33"/>
      <c r="F187" s="34"/>
      <c r="G187" s="33"/>
      <c r="H187" s="33"/>
      <c r="I187" s="33"/>
      <c r="J187" s="33"/>
      <c r="L187" s="33"/>
      <c r="M187" s="33"/>
      <c r="N187" s="33"/>
      <c r="O187" s="33"/>
    </row>
    <row r="188" spans="5:15" ht="16.5">
      <c r="E188" s="33"/>
      <c r="F188" s="34"/>
      <c r="G188" s="33"/>
      <c r="H188" s="33"/>
      <c r="I188" s="33"/>
      <c r="J188" s="33"/>
      <c r="L188" s="33"/>
      <c r="M188" s="33"/>
      <c r="N188" s="33"/>
      <c r="O188" s="33"/>
    </row>
    <row r="189" spans="5:15" ht="16.5">
      <c r="E189" s="33"/>
      <c r="F189" s="34"/>
      <c r="G189" s="33"/>
      <c r="H189" s="33"/>
      <c r="I189" s="33"/>
      <c r="J189" s="33"/>
      <c r="L189" s="33"/>
      <c r="M189" s="33"/>
      <c r="N189" s="33"/>
      <c r="O189" s="33"/>
    </row>
    <row r="190" spans="5:15" ht="16.5">
      <c r="E190" s="33"/>
      <c r="F190" s="34"/>
      <c r="G190" s="33"/>
      <c r="H190" s="33"/>
      <c r="I190" s="33"/>
      <c r="J190" s="33"/>
      <c r="L190" s="33"/>
      <c r="M190" s="33"/>
      <c r="N190" s="33"/>
      <c r="O190" s="33"/>
    </row>
    <row r="191" spans="5:15" ht="16.5">
      <c r="E191" s="33"/>
      <c r="F191" s="34"/>
      <c r="G191" s="33"/>
      <c r="H191" s="33"/>
      <c r="I191" s="33"/>
      <c r="J191" s="33"/>
      <c r="L191" s="33"/>
      <c r="M191" s="33"/>
      <c r="N191" s="33"/>
      <c r="O191" s="33"/>
    </row>
    <row r="192" spans="5:15" ht="16.5">
      <c r="E192" s="33"/>
      <c r="F192" s="34"/>
      <c r="G192" s="33"/>
      <c r="H192" s="33"/>
      <c r="I192" s="33"/>
      <c r="J192" s="33"/>
      <c r="L192" s="33"/>
      <c r="M192" s="33"/>
      <c r="N192" s="33"/>
      <c r="O192" s="33"/>
    </row>
    <row r="193" spans="5:15" ht="16.5">
      <c r="E193" s="33"/>
      <c r="F193" s="34"/>
      <c r="G193" s="33"/>
      <c r="H193" s="33"/>
      <c r="I193" s="33"/>
      <c r="J193" s="33"/>
      <c r="L193" s="33"/>
      <c r="M193" s="33"/>
      <c r="N193" s="33"/>
      <c r="O193" s="33"/>
    </row>
    <row r="194" spans="5:15" ht="16.5">
      <c r="E194" s="33"/>
      <c r="F194" s="34"/>
      <c r="G194" s="33"/>
      <c r="H194" s="33"/>
      <c r="I194" s="33"/>
      <c r="J194" s="33"/>
      <c r="L194" s="33"/>
      <c r="M194" s="33"/>
      <c r="N194" s="33"/>
      <c r="O194" s="33"/>
    </row>
    <row r="195" spans="5:15" ht="16.5">
      <c r="E195" s="33"/>
      <c r="F195" s="34"/>
      <c r="G195" s="33"/>
      <c r="H195" s="33"/>
      <c r="I195" s="33"/>
      <c r="J195" s="33"/>
      <c r="L195" s="33"/>
      <c r="M195" s="33"/>
      <c r="N195" s="33"/>
      <c r="O195" s="33"/>
    </row>
    <row r="196" spans="5:15" ht="16.5">
      <c r="E196" s="33"/>
      <c r="F196" s="34"/>
      <c r="G196" s="33"/>
      <c r="H196" s="33"/>
      <c r="I196" s="33"/>
      <c r="J196" s="33"/>
      <c r="L196" s="33"/>
      <c r="M196" s="33"/>
      <c r="N196" s="33"/>
      <c r="O196" s="33"/>
    </row>
    <row r="197" spans="5:15" ht="16.5">
      <c r="E197" s="33"/>
      <c r="F197" s="34"/>
      <c r="G197" s="33"/>
      <c r="H197" s="33"/>
      <c r="I197" s="33"/>
      <c r="J197" s="33"/>
      <c r="L197" s="33"/>
      <c r="M197" s="33"/>
      <c r="N197" s="33"/>
      <c r="O197" s="33"/>
    </row>
    <row r="198" spans="5:15" ht="16.5">
      <c r="E198" s="33"/>
      <c r="F198" s="34"/>
      <c r="G198" s="33"/>
      <c r="H198" s="33"/>
      <c r="I198" s="33"/>
      <c r="J198" s="33"/>
      <c r="L198" s="33"/>
      <c r="M198" s="33"/>
      <c r="N198" s="33"/>
      <c r="O198" s="33"/>
    </row>
    <row r="199" spans="5:15" ht="16.5">
      <c r="E199" s="33"/>
      <c r="F199" s="34"/>
      <c r="G199" s="33"/>
      <c r="H199" s="33"/>
      <c r="I199" s="33"/>
      <c r="J199" s="33"/>
      <c r="L199" s="33"/>
      <c r="M199" s="33"/>
      <c r="N199" s="33"/>
      <c r="O199" s="33"/>
    </row>
    <row r="200" spans="5:15" ht="16.5">
      <c r="E200" s="33"/>
      <c r="F200" s="34"/>
      <c r="G200" s="33"/>
      <c r="H200" s="33"/>
      <c r="I200" s="33"/>
      <c r="J200" s="33"/>
      <c r="L200" s="33"/>
      <c r="M200" s="33"/>
      <c r="N200" s="33"/>
      <c r="O200" s="33"/>
    </row>
    <row r="201" spans="5:15" ht="16.5">
      <c r="E201" s="33"/>
      <c r="F201" s="34"/>
      <c r="G201" s="33"/>
      <c r="H201" s="33"/>
      <c r="I201" s="33"/>
      <c r="J201" s="33"/>
      <c r="L201" s="33"/>
      <c r="M201" s="33"/>
      <c r="N201" s="33"/>
      <c r="O201" s="33"/>
    </row>
    <row r="202" spans="5:15" ht="16.5">
      <c r="E202" s="33"/>
      <c r="F202" s="34"/>
      <c r="G202" s="33"/>
      <c r="H202" s="33"/>
      <c r="I202" s="33"/>
      <c r="J202" s="33"/>
      <c r="L202" s="33"/>
      <c r="M202" s="33"/>
      <c r="N202" s="33"/>
      <c r="O202" s="33"/>
    </row>
    <row r="203" spans="5:15" ht="16.5">
      <c r="E203" s="33"/>
      <c r="F203" s="34"/>
      <c r="G203" s="33"/>
      <c r="H203" s="33"/>
      <c r="I203" s="33"/>
      <c r="J203" s="33"/>
      <c r="L203" s="33"/>
      <c r="M203" s="33"/>
      <c r="N203" s="33"/>
      <c r="O203" s="33"/>
    </row>
    <row r="204" spans="5:15" ht="16.5">
      <c r="E204" s="33"/>
      <c r="F204" s="34"/>
      <c r="G204" s="33"/>
      <c r="H204" s="33"/>
      <c r="I204" s="33"/>
      <c r="J204" s="33"/>
      <c r="L204" s="33"/>
      <c r="M204" s="33"/>
      <c r="N204" s="33"/>
      <c r="O204" s="33"/>
    </row>
    <row r="205" spans="5:15" ht="16.5">
      <c r="E205" s="33"/>
      <c r="F205" s="34"/>
      <c r="G205" s="33"/>
      <c r="H205" s="33"/>
      <c r="I205" s="33"/>
      <c r="J205" s="33"/>
      <c r="L205" s="33"/>
      <c r="M205" s="33"/>
      <c r="N205" s="33"/>
      <c r="O205" s="33"/>
    </row>
    <row r="206" spans="5:15" ht="16.5">
      <c r="E206" s="33"/>
      <c r="F206" s="34"/>
      <c r="G206" s="33"/>
      <c r="H206" s="33"/>
      <c r="I206" s="33"/>
      <c r="J206" s="33"/>
      <c r="L206" s="33"/>
      <c r="M206" s="33"/>
      <c r="N206" s="33"/>
      <c r="O206" s="33"/>
    </row>
    <row r="207" spans="5:15" ht="16.5">
      <c r="E207" s="33"/>
      <c r="F207" s="34"/>
      <c r="G207" s="33"/>
      <c r="H207" s="33"/>
      <c r="I207" s="33"/>
      <c r="J207" s="33"/>
      <c r="L207" s="33"/>
      <c r="M207" s="33"/>
      <c r="N207" s="33"/>
      <c r="O207" s="33"/>
    </row>
    <row r="208" spans="5:15" ht="16.5">
      <c r="E208" s="33"/>
      <c r="F208" s="34"/>
      <c r="G208" s="33"/>
      <c r="H208" s="33"/>
      <c r="I208" s="33"/>
      <c r="J208" s="33"/>
      <c r="L208" s="33"/>
      <c r="M208" s="33"/>
      <c r="N208" s="33"/>
      <c r="O208" s="33"/>
    </row>
    <row r="209" spans="5:15" ht="16.5">
      <c r="E209" s="33"/>
      <c r="F209" s="34"/>
      <c r="G209" s="33"/>
      <c r="H209" s="33"/>
      <c r="I209" s="33"/>
      <c r="J209" s="33"/>
      <c r="L209" s="33"/>
      <c r="M209" s="33"/>
      <c r="N209" s="33"/>
      <c r="O209" s="33"/>
    </row>
    <row r="210" spans="5:15" ht="16.5">
      <c r="E210" s="33"/>
      <c r="F210" s="34"/>
      <c r="G210" s="33"/>
      <c r="H210" s="33"/>
      <c r="I210" s="33"/>
      <c r="J210" s="33"/>
      <c r="L210" s="33"/>
      <c r="M210" s="33"/>
      <c r="N210" s="33"/>
      <c r="O210" s="33"/>
    </row>
    <row r="211" spans="5:15" ht="16.5">
      <c r="E211" s="33"/>
      <c r="F211" s="34"/>
      <c r="G211" s="33"/>
      <c r="H211" s="33"/>
      <c r="I211" s="33"/>
      <c r="J211" s="33"/>
      <c r="L211" s="33"/>
      <c r="M211" s="33"/>
      <c r="N211" s="33"/>
      <c r="O211" s="33"/>
    </row>
    <row r="212" spans="5:15" ht="16.5">
      <c r="E212" s="33"/>
      <c r="F212" s="34"/>
      <c r="G212" s="33"/>
      <c r="H212" s="33"/>
      <c r="I212" s="33"/>
      <c r="J212" s="33"/>
      <c r="L212" s="33"/>
      <c r="M212" s="33"/>
      <c r="N212" s="33"/>
      <c r="O212" s="33"/>
    </row>
    <row r="213" spans="5:15" ht="16.5">
      <c r="E213" s="33"/>
      <c r="F213" s="34"/>
      <c r="G213" s="33"/>
      <c r="H213" s="33"/>
      <c r="I213" s="33"/>
      <c r="J213" s="33"/>
      <c r="L213" s="33"/>
      <c r="M213" s="33"/>
      <c r="N213" s="33"/>
      <c r="O213" s="33"/>
    </row>
    <row r="214" spans="5:15" ht="16.5">
      <c r="E214" s="33"/>
      <c r="F214" s="34"/>
      <c r="G214" s="33"/>
      <c r="H214" s="33"/>
      <c r="I214" s="33"/>
      <c r="J214" s="33"/>
      <c r="L214" s="33"/>
      <c r="M214" s="33"/>
      <c r="N214" s="33"/>
      <c r="O214" s="33"/>
    </row>
    <row r="215" spans="5:15" ht="16.5">
      <c r="E215" s="33"/>
      <c r="F215" s="34"/>
      <c r="G215" s="33"/>
      <c r="H215" s="33"/>
      <c r="I215" s="33"/>
      <c r="J215" s="33"/>
      <c r="L215" s="33"/>
      <c r="M215" s="33"/>
      <c r="N215" s="33"/>
      <c r="O215" s="33"/>
    </row>
    <row r="216" spans="5:15" ht="16.5">
      <c r="E216" s="33"/>
      <c r="F216" s="34"/>
      <c r="G216" s="33"/>
      <c r="H216" s="33"/>
      <c r="I216" s="33"/>
      <c r="J216" s="33"/>
      <c r="L216" s="33"/>
      <c r="M216" s="33"/>
      <c r="N216" s="33"/>
      <c r="O216" s="33"/>
    </row>
    <row r="217" spans="5:15" ht="16.5">
      <c r="E217" s="33"/>
      <c r="F217" s="34"/>
      <c r="G217" s="33"/>
      <c r="H217" s="33"/>
      <c r="I217" s="33"/>
      <c r="J217" s="33"/>
      <c r="L217" s="33"/>
      <c r="M217" s="33"/>
      <c r="N217" s="33"/>
      <c r="O217" s="33"/>
    </row>
    <row r="218" spans="5:15" ht="16.5">
      <c r="E218" s="33"/>
      <c r="F218" s="34"/>
      <c r="G218" s="33"/>
      <c r="H218" s="33"/>
      <c r="I218" s="33"/>
      <c r="J218" s="33"/>
      <c r="L218" s="33"/>
      <c r="M218" s="33"/>
      <c r="N218" s="33"/>
      <c r="O218" s="33"/>
    </row>
    <row r="219" spans="5:15" ht="16.5">
      <c r="E219" s="33"/>
      <c r="F219" s="34"/>
      <c r="G219" s="33"/>
      <c r="H219" s="33"/>
      <c r="I219" s="33"/>
      <c r="J219" s="33"/>
      <c r="L219" s="33"/>
      <c r="M219" s="33"/>
      <c r="N219" s="33"/>
      <c r="O219" s="33"/>
    </row>
    <row r="220" spans="5:15" ht="16.5">
      <c r="E220" s="33"/>
      <c r="F220" s="34"/>
      <c r="G220" s="33"/>
      <c r="H220" s="33"/>
      <c r="I220" s="33"/>
      <c r="J220" s="33"/>
      <c r="L220" s="33"/>
      <c r="M220" s="33"/>
      <c r="N220" s="33"/>
      <c r="O220" s="33"/>
    </row>
    <row r="221" spans="5:15" ht="16.5">
      <c r="E221" s="33"/>
      <c r="F221" s="34"/>
      <c r="G221" s="33"/>
      <c r="H221" s="33"/>
      <c r="I221" s="33"/>
      <c r="J221" s="33"/>
      <c r="L221" s="33"/>
      <c r="M221" s="33"/>
      <c r="N221" s="33"/>
      <c r="O221" s="33"/>
    </row>
    <row r="222" spans="5:15" ht="16.5">
      <c r="E222" s="33"/>
      <c r="F222" s="34"/>
      <c r="G222" s="33"/>
      <c r="H222" s="33"/>
      <c r="I222" s="33"/>
      <c r="J222" s="33"/>
      <c r="L222" s="33"/>
      <c r="M222" s="33"/>
      <c r="N222" s="33"/>
      <c r="O222" s="33"/>
    </row>
    <row r="223" spans="5:15" ht="16.5">
      <c r="E223" s="33"/>
      <c r="F223" s="34"/>
      <c r="G223" s="33"/>
      <c r="H223" s="33"/>
      <c r="I223" s="33"/>
      <c r="J223" s="33"/>
      <c r="L223" s="33"/>
      <c r="M223" s="33"/>
      <c r="N223" s="33"/>
      <c r="O223" s="33"/>
    </row>
    <row r="224" spans="5:15" ht="16.5">
      <c r="E224" s="33"/>
      <c r="F224" s="34"/>
      <c r="G224" s="33"/>
      <c r="H224" s="33"/>
      <c r="I224" s="33"/>
      <c r="J224" s="33"/>
      <c r="L224" s="33"/>
      <c r="M224" s="33"/>
      <c r="N224" s="33"/>
      <c r="O224" s="33"/>
    </row>
    <row r="225" spans="5:15" ht="16.5">
      <c r="E225" s="33"/>
      <c r="F225" s="34"/>
      <c r="G225" s="33"/>
      <c r="H225" s="33"/>
      <c r="I225" s="33"/>
      <c r="J225" s="33"/>
      <c r="L225" s="33"/>
      <c r="M225" s="33"/>
      <c r="N225" s="33"/>
      <c r="O225" s="33"/>
    </row>
    <row r="226" spans="5:15" ht="16.5">
      <c r="E226" s="33"/>
      <c r="F226" s="34"/>
      <c r="G226" s="33"/>
      <c r="H226" s="33"/>
      <c r="I226" s="33"/>
      <c r="J226" s="33"/>
      <c r="L226" s="33"/>
      <c r="M226" s="33"/>
      <c r="N226" s="33"/>
      <c r="O226" s="33"/>
    </row>
    <row r="227" spans="5:15" ht="16.5">
      <c r="E227" s="33"/>
      <c r="F227" s="34"/>
      <c r="G227" s="33"/>
      <c r="H227" s="33"/>
      <c r="I227" s="33"/>
      <c r="J227" s="33"/>
      <c r="L227" s="33"/>
      <c r="M227" s="33"/>
      <c r="N227" s="33"/>
      <c r="O227" s="33"/>
    </row>
    <row r="228" spans="5:15" ht="16.5">
      <c r="E228" s="33"/>
      <c r="F228" s="34"/>
      <c r="G228" s="33"/>
      <c r="H228" s="33"/>
      <c r="I228" s="33"/>
      <c r="J228" s="33"/>
      <c r="L228" s="33"/>
      <c r="M228" s="33"/>
      <c r="N228" s="33"/>
      <c r="O228" s="33"/>
    </row>
    <row r="229" spans="5:15" ht="16.5">
      <c r="E229" s="33"/>
      <c r="F229" s="34"/>
      <c r="G229" s="33"/>
      <c r="H229" s="33"/>
      <c r="I229" s="33"/>
      <c r="J229" s="33"/>
      <c r="L229" s="33"/>
      <c r="M229" s="33"/>
      <c r="N229" s="33"/>
      <c r="O229" s="33"/>
    </row>
    <row r="230" spans="5:15" ht="16.5">
      <c r="E230" s="33"/>
      <c r="F230" s="34"/>
      <c r="G230" s="33"/>
      <c r="H230" s="33"/>
      <c r="I230" s="33"/>
      <c r="J230" s="33"/>
      <c r="L230" s="33"/>
      <c r="M230" s="33"/>
      <c r="N230" s="33"/>
      <c r="O230" s="33"/>
    </row>
    <row r="231" spans="5:15" ht="16.5">
      <c r="E231" s="33"/>
      <c r="F231" s="34"/>
      <c r="G231" s="33"/>
      <c r="H231" s="33"/>
      <c r="I231" s="33"/>
      <c r="J231" s="33"/>
      <c r="L231" s="33"/>
      <c r="M231" s="33"/>
      <c r="N231" s="33"/>
      <c r="O231" s="33"/>
    </row>
    <row r="232" spans="5:15" ht="16.5">
      <c r="E232" s="33"/>
      <c r="F232" s="34"/>
      <c r="G232" s="33"/>
      <c r="H232" s="33"/>
      <c r="I232" s="33"/>
      <c r="J232" s="33"/>
      <c r="L232" s="33"/>
      <c r="M232" s="33"/>
      <c r="N232" s="33"/>
      <c r="O232" s="33"/>
    </row>
    <row r="233" spans="5:15" ht="16.5">
      <c r="E233" s="33"/>
      <c r="F233" s="34"/>
      <c r="G233" s="33"/>
      <c r="H233" s="33"/>
      <c r="I233" s="33"/>
      <c r="J233" s="33"/>
      <c r="L233" s="33"/>
      <c r="M233" s="33"/>
      <c r="N233" s="33"/>
      <c r="O233" s="33"/>
    </row>
    <row r="234" spans="5:15" ht="16.5">
      <c r="E234" s="33"/>
      <c r="F234" s="34"/>
      <c r="G234" s="33"/>
      <c r="H234" s="33"/>
      <c r="I234" s="33"/>
      <c r="J234" s="33"/>
      <c r="L234" s="33"/>
      <c r="M234" s="33"/>
      <c r="N234" s="33"/>
      <c r="O234" s="33"/>
    </row>
    <row r="235" spans="5:15" ht="16.5">
      <c r="E235" s="33"/>
      <c r="F235" s="34"/>
      <c r="G235" s="33"/>
      <c r="H235" s="33"/>
      <c r="I235" s="33"/>
      <c r="J235" s="33"/>
      <c r="L235" s="33"/>
      <c r="M235" s="33"/>
      <c r="N235" s="33"/>
      <c r="O235" s="33"/>
    </row>
    <row r="236" spans="5:15" ht="16.5">
      <c r="E236" s="33"/>
      <c r="F236" s="34"/>
      <c r="G236" s="33"/>
      <c r="H236" s="33"/>
      <c r="I236" s="33"/>
      <c r="J236" s="33"/>
      <c r="L236" s="33"/>
      <c r="M236" s="33"/>
      <c r="N236" s="33"/>
      <c r="O236" s="33"/>
    </row>
    <row r="237" spans="5:15" ht="16.5">
      <c r="E237" s="33"/>
      <c r="F237" s="34"/>
      <c r="G237" s="33"/>
      <c r="H237" s="33"/>
      <c r="I237" s="33"/>
      <c r="J237" s="33"/>
      <c r="L237" s="33"/>
      <c r="M237" s="33"/>
      <c r="N237" s="33"/>
      <c r="O237" s="33"/>
    </row>
    <row r="238" spans="5:15" ht="16.5">
      <c r="E238" s="33"/>
      <c r="F238" s="34"/>
      <c r="G238" s="33"/>
      <c r="H238" s="33"/>
      <c r="I238" s="33"/>
      <c r="J238" s="33"/>
      <c r="L238" s="33"/>
      <c r="M238" s="33"/>
      <c r="N238" s="33"/>
      <c r="O238" s="33"/>
    </row>
    <row r="239" spans="5:15" ht="16.5">
      <c r="E239" s="33"/>
      <c r="F239" s="34"/>
      <c r="G239" s="33"/>
      <c r="H239" s="33"/>
      <c r="I239" s="33"/>
      <c r="J239" s="33"/>
      <c r="L239" s="33"/>
      <c r="M239" s="33"/>
      <c r="N239" s="33"/>
      <c r="O239" s="33"/>
    </row>
    <row r="240" spans="5:15" ht="16.5">
      <c r="E240" s="33"/>
      <c r="F240" s="34"/>
      <c r="G240" s="33"/>
      <c r="H240" s="33"/>
      <c r="I240" s="33"/>
      <c r="J240" s="33"/>
      <c r="L240" s="33"/>
      <c r="M240" s="33"/>
      <c r="N240" s="33"/>
      <c r="O240" s="33"/>
    </row>
    <row r="241" spans="5:15" ht="16.5">
      <c r="E241" s="33"/>
      <c r="F241" s="34"/>
      <c r="G241" s="33"/>
      <c r="H241" s="33"/>
      <c r="I241" s="33"/>
      <c r="J241" s="33"/>
      <c r="L241" s="33"/>
      <c r="M241" s="33"/>
      <c r="N241" s="33"/>
      <c r="O241" s="33"/>
    </row>
    <row r="242" spans="5:15" ht="16.5">
      <c r="E242" s="33"/>
      <c r="F242" s="34"/>
      <c r="G242" s="33"/>
      <c r="H242" s="33"/>
      <c r="I242" s="33"/>
      <c r="J242" s="33"/>
      <c r="L242" s="33"/>
      <c r="M242" s="33"/>
      <c r="N242" s="33"/>
      <c r="O242" s="33"/>
    </row>
    <row r="243" spans="5:15" ht="16.5">
      <c r="E243" s="33"/>
      <c r="F243" s="34"/>
      <c r="G243" s="33"/>
      <c r="H243" s="33"/>
      <c r="I243" s="33"/>
      <c r="J243" s="33"/>
      <c r="L243" s="33"/>
      <c r="M243" s="33"/>
      <c r="N243" s="33"/>
      <c r="O243" s="33"/>
    </row>
    <row r="244" spans="5:15" ht="16.5">
      <c r="E244" s="33"/>
      <c r="F244" s="34"/>
      <c r="G244" s="33"/>
      <c r="H244" s="33"/>
      <c r="I244" s="33"/>
      <c r="J244" s="33"/>
      <c r="L244" s="33"/>
      <c r="M244" s="33"/>
      <c r="N244" s="33"/>
      <c r="O244" s="33"/>
    </row>
    <row r="245" spans="5:15" ht="16.5">
      <c r="E245" s="33"/>
      <c r="F245" s="34"/>
      <c r="G245" s="33"/>
      <c r="H245" s="33"/>
      <c r="I245" s="33"/>
      <c r="J245" s="33"/>
      <c r="L245" s="33"/>
      <c r="M245" s="33"/>
      <c r="N245" s="33"/>
      <c r="O245" s="33"/>
    </row>
    <row r="246" spans="5:15" ht="16.5">
      <c r="E246" s="33"/>
      <c r="F246" s="34"/>
      <c r="G246" s="33"/>
      <c r="H246" s="33"/>
      <c r="I246" s="33"/>
      <c r="J246" s="33"/>
      <c r="L246" s="33"/>
      <c r="M246" s="33"/>
      <c r="N246" s="33"/>
      <c r="O246" s="33"/>
    </row>
    <row r="247" spans="5:15" ht="16.5">
      <c r="E247" s="33"/>
      <c r="F247" s="34"/>
      <c r="G247" s="33"/>
      <c r="H247" s="33"/>
      <c r="I247" s="33"/>
      <c r="J247" s="33"/>
      <c r="L247" s="33"/>
      <c r="M247" s="33"/>
      <c r="N247" s="33"/>
      <c r="O247" s="33"/>
    </row>
    <row r="248" spans="5:15" ht="16.5">
      <c r="E248" s="33"/>
      <c r="F248" s="34"/>
      <c r="G248" s="33"/>
      <c r="H248" s="33"/>
      <c r="I248" s="33"/>
      <c r="J248" s="33"/>
      <c r="L248" s="33"/>
      <c r="M248" s="33"/>
      <c r="N248" s="33"/>
      <c r="O248" s="33"/>
    </row>
    <row r="249" spans="5:15" ht="16.5">
      <c r="E249" s="33"/>
      <c r="F249" s="34"/>
      <c r="G249" s="33"/>
      <c r="H249" s="33"/>
      <c r="I249" s="33"/>
      <c r="J249" s="33"/>
      <c r="L249" s="33"/>
      <c r="M249" s="33"/>
      <c r="N249" s="33"/>
      <c r="O249" s="33"/>
    </row>
    <row r="250" spans="5:15" ht="16.5">
      <c r="E250" s="33"/>
      <c r="F250" s="34"/>
      <c r="G250" s="33"/>
      <c r="H250" s="33"/>
      <c r="I250" s="33"/>
      <c r="J250" s="33"/>
      <c r="L250" s="33"/>
      <c r="M250" s="33"/>
      <c r="N250" s="33"/>
      <c r="O250" s="33"/>
    </row>
    <row r="251" spans="5:15" ht="16.5">
      <c r="E251" s="33"/>
      <c r="F251" s="34"/>
      <c r="G251" s="33"/>
      <c r="H251" s="33"/>
      <c r="I251" s="33"/>
      <c r="J251" s="33"/>
      <c r="L251" s="33"/>
      <c r="M251" s="33"/>
      <c r="N251" s="33"/>
      <c r="O251" s="33"/>
    </row>
    <row r="252" spans="5:15" ht="16.5">
      <c r="E252" s="33"/>
      <c r="F252" s="34"/>
      <c r="G252" s="33"/>
      <c r="H252" s="33"/>
      <c r="I252" s="33"/>
      <c r="J252" s="33"/>
      <c r="L252" s="33"/>
      <c r="M252" s="33"/>
      <c r="N252" s="33"/>
      <c r="O252" s="33"/>
    </row>
    <row r="253" spans="5:15" ht="16.5">
      <c r="E253" s="33"/>
      <c r="F253" s="34"/>
      <c r="G253" s="33"/>
      <c r="H253" s="33"/>
      <c r="I253" s="33"/>
      <c r="J253" s="33"/>
      <c r="L253" s="33"/>
      <c r="M253" s="33"/>
      <c r="N253" s="33"/>
      <c r="O253" s="33"/>
    </row>
    <row r="254" spans="5:15" ht="16.5">
      <c r="E254" s="33"/>
      <c r="F254" s="34"/>
      <c r="G254" s="33"/>
      <c r="H254" s="33"/>
      <c r="I254" s="33"/>
      <c r="J254" s="33"/>
      <c r="L254" s="33"/>
      <c r="M254" s="33"/>
      <c r="N254" s="33"/>
      <c r="O254" s="33"/>
    </row>
    <row r="255" spans="5:15" ht="16.5">
      <c r="E255" s="33"/>
      <c r="F255" s="34"/>
      <c r="G255" s="33"/>
      <c r="H255" s="33"/>
      <c r="I255" s="33"/>
      <c r="J255" s="33"/>
      <c r="L255" s="33"/>
      <c r="M255" s="33"/>
      <c r="N255" s="33"/>
      <c r="O255" s="33"/>
    </row>
    <row r="256" spans="5:15" ht="16.5">
      <c r="E256" s="33"/>
      <c r="F256" s="34"/>
      <c r="G256" s="33"/>
      <c r="H256" s="33"/>
      <c r="I256" s="33"/>
      <c r="J256" s="33"/>
      <c r="L256" s="33"/>
      <c r="M256" s="33"/>
      <c r="N256" s="33"/>
      <c r="O256" s="33"/>
    </row>
    <row r="257" spans="5:15" ht="16.5">
      <c r="E257" s="33"/>
      <c r="F257" s="34"/>
      <c r="G257" s="33"/>
      <c r="H257" s="33"/>
      <c r="I257" s="33"/>
      <c r="J257" s="33"/>
      <c r="L257" s="33"/>
      <c r="M257" s="33"/>
      <c r="N257" s="33"/>
      <c r="O257" s="33"/>
    </row>
    <row r="258" spans="5:15" ht="16.5">
      <c r="E258" s="33"/>
      <c r="F258" s="34"/>
      <c r="G258" s="33"/>
      <c r="H258" s="33"/>
      <c r="I258" s="33"/>
      <c r="J258" s="33"/>
      <c r="L258" s="33"/>
      <c r="M258" s="33"/>
      <c r="N258" s="33"/>
      <c r="O258" s="33"/>
    </row>
    <row r="259" spans="5:15" ht="16.5">
      <c r="E259" s="33"/>
      <c r="F259" s="34"/>
      <c r="G259" s="33"/>
      <c r="H259" s="33"/>
      <c r="I259" s="33"/>
      <c r="J259" s="33"/>
      <c r="L259" s="33"/>
      <c r="M259" s="33"/>
      <c r="N259" s="33"/>
      <c r="O259" s="33"/>
    </row>
    <row r="260" spans="5:15" ht="16.5">
      <c r="E260" s="33"/>
      <c r="F260" s="34"/>
      <c r="G260" s="33"/>
      <c r="H260" s="33"/>
      <c r="I260" s="33"/>
      <c r="J260" s="33"/>
      <c r="L260" s="33"/>
      <c r="M260" s="33"/>
      <c r="N260" s="33"/>
      <c r="O260" s="33"/>
    </row>
    <row r="261" spans="5:15" ht="16.5">
      <c r="E261" s="33"/>
      <c r="F261" s="34"/>
      <c r="G261" s="33"/>
      <c r="H261" s="33"/>
      <c r="I261" s="33"/>
      <c r="J261" s="33"/>
      <c r="L261" s="33"/>
      <c r="M261" s="33"/>
      <c r="N261" s="33"/>
      <c r="O261" s="33"/>
    </row>
    <row r="262" spans="5:15" ht="16.5">
      <c r="E262" s="33"/>
      <c r="F262" s="34"/>
      <c r="G262" s="33"/>
      <c r="H262" s="33"/>
      <c r="I262" s="33"/>
      <c r="J262" s="33"/>
      <c r="L262" s="33"/>
      <c r="M262" s="33"/>
      <c r="N262" s="33"/>
      <c r="O262" s="33"/>
    </row>
    <row r="263" spans="5:15" ht="16.5">
      <c r="E263" s="33"/>
      <c r="F263" s="34"/>
      <c r="G263" s="33"/>
      <c r="H263" s="33"/>
      <c r="I263" s="33"/>
      <c r="J263" s="33"/>
      <c r="L263" s="33"/>
      <c r="M263" s="33"/>
      <c r="N263" s="33"/>
      <c r="O263" s="33"/>
    </row>
    <row r="264" spans="5:15" ht="16.5">
      <c r="E264" s="33"/>
      <c r="F264" s="34"/>
      <c r="G264" s="33"/>
      <c r="H264" s="33"/>
      <c r="I264" s="33"/>
      <c r="J264" s="33"/>
      <c r="L264" s="33"/>
      <c r="M264" s="33"/>
      <c r="N264" s="33"/>
      <c r="O264" s="33"/>
    </row>
    <row r="265" spans="5:15" ht="16.5">
      <c r="E265" s="33"/>
      <c r="F265" s="34"/>
      <c r="G265" s="33"/>
      <c r="H265" s="33"/>
      <c r="I265" s="33"/>
      <c r="J265" s="33"/>
      <c r="L265" s="33"/>
      <c r="M265" s="33"/>
      <c r="N265" s="33"/>
      <c r="O265" s="33"/>
    </row>
    <row r="266" spans="5:15" ht="16.5">
      <c r="E266" s="33"/>
      <c r="F266" s="34"/>
      <c r="G266" s="33"/>
      <c r="H266" s="33"/>
      <c r="I266" s="33"/>
      <c r="J266" s="33"/>
      <c r="L266" s="33"/>
      <c r="M266" s="33"/>
      <c r="N266" s="33"/>
      <c r="O266" s="33"/>
    </row>
    <row r="267" spans="5:15" ht="16.5">
      <c r="E267" s="33"/>
      <c r="F267" s="34"/>
      <c r="G267" s="33"/>
      <c r="H267" s="33"/>
      <c r="I267" s="33"/>
      <c r="J267" s="33"/>
      <c r="L267" s="33"/>
      <c r="M267" s="33"/>
      <c r="N267" s="33"/>
      <c r="O267" s="33"/>
    </row>
    <row r="268" spans="5:15" ht="16.5">
      <c r="E268" s="33"/>
      <c r="F268" s="34"/>
      <c r="G268" s="33"/>
      <c r="H268" s="33"/>
      <c r="I268" s="33"/>
      <c r="J268" s="33"/>
      <c r="L268" s="33"/>
      <c r="M268" s="33"/>
      <c r="N268" s="33"/>
      <c r="O268" s="33"/>
    </row>
    <row r="269" spans="5:15" ht="16.5">
      <c r="E269" s="33"/>
      <c r="F269" s="34"/>
      <c r="G269" s="33"/>
      <c r="H269" s="33"/>
      <c r="I269" s="33"/>
      <c r="J269" s="33"/>
      <c r="L269" s="33"/>
      <c r="M269" s="33"/>
      <c r="N269" s="33"/>
      <c r="O269" s="33"/>
    </row>
    <row r="270" spans="5:15" ht="16.5">
      <c r="E270" s="33"/>
      <c r="F270" s="34"/>
      <c r="G270" s="33"/>
      <c r="H270" s="33"/>
      <c r="I270" s="33"/>
      <c r="J270" s="33"/>
      <c r="L270" s="33"/>
      <c r="M270" s="33"/>
      <c r="N270" s="33"/>
      <c r="O270" s="33"/>
    </row>
    <row r="271" spans="5:15" ht="16.5">
      <c r="E271" s="33"/>
      <c r="F271" s="34"/>
      <c r="G271" s="33"/>
      <c r="H271" s="33"/>
      <c r="I271" s="33"/>
      <c r="J271" s="33"/>
      <c r="L271" s="33"/>
      <c r="M271" s="33"/>
      <c r="N271" s="33"/>
      <c r="O271" s="33"/>
    </row>
    <row r="272" spans="5:15" ht="16.5">
      <c r="E272" s="33"/>
      <c r="F272" s="34"/>
      <c r="G272" s="33"/>
      <c r="H272" s="33"/>
      <c r="I272" s="33"/>
      <c r="J272" s="33"/>
      <c r="L272" s="33"/>
      <c r="M272" s="33"/>
      <c r="N272" s="33"/>
      <c r="O272" s="33"/>
    </row>
    <row r="273" spans="5:15" ht="16.5">
      <c r="E273" s="33"/>
      <c r="F273" s="34"/>
      <c r="G273" s="33"/>
      <c r="H273" s="33"/>
      <c r="I273" s="33"/>
      <c r="J273" s="33"/>
      <c r="L273" s="33"/>
      <c r="M273" s="33"/>
      <c r="N273" s="33"/>
      <c r="O273" s="33"/>
    </row>
    <row r="274" spans="5:15" ht="16.5">
      <c r="E274" s="33"/>
      <c r="F274" s="34"/>
      <c r="G274" s="33"/>
      <c r="H274" s="33"/>
      <c r="I274" s="33"/>
      <c r="J274" s="33"/>
      <c r="L274" s="33"/>
      <c r="M274" s="33"/>
      <c r="N274" s="33"/>
      <c r="O274" s="33"/>
    </row>
    <row r="275" spans="5:15" ht="16.5">
      <c r="E275" s="33"/>
      <c r="F275" s="34"/>
      <c r="G275" s="33"/>
      <c r="H275" s="33"/>
      <c r="I275" s="33"/>
      <c r="J275" s="33"/>
      <c r="L275" s="33"/>
      <c r="M275" s="33"/>
      <c r="N275" s="33"/>
      <c r="O275" s="33"/>
    </row>
    <row r="276" spans="5:15" ht="16.5">
      <c r="E276" s="33"/>
      <c r="F276" s="34"/>
      <c r="G276" s="33"/>
      <c r="H276" s="33"/>
      <c r="I276" s="33"/>
      <c r="J276" s="33"/>
      <c r="L276" s="33"/>
      <c r="M276" s="33"/>
      <c r="N276" s="33"/>
      <c r="O276" s="33"/>
    </row>
    <row r="277" spans="5:15" ht="16.5">
      <c r="E277" s="33"/>
      <c r="F277" s="34"/>
      <c r="G277" s="33"/>
      <c r="H277" s="33"/>
      <c r="I277" s="33"/>
      <c r="J277" s="33"/>
      <c r="L277" s="33"/>
      <c r="M277" s="33"/>
      <c r="N277" s="33"/>
      <c r="O277" s="33"/>
    </row>
    <row r="278" spans="5:15" ht="16.5">
      <c r="E278" s="33"/>
      <c r="F278" s="34"/>
      <c r="G278" s="33"/>
      <c r="H278" s="33"/>
      <c r="I278" s="33"/>
      <c r="J278" s="33"/>
      <c r="L278" s="33"/>
      <c r="M278" s="33"/>
      <c r="N278" s="33"/>
      <c r="O278" s="33"/>
    </row>
    <row r="279" spans="5:15" ht="16.5">
      <c r="E279" s="33"/>
      <c r="F279" s="34"/>
      <c r="G279" s="33"/>
      <c r="H279" s="33"/>
      <c r="I279" s="33"/>
      <c r="J279" s="33"/>
      <c r="L279" s="33"/>
      <c r="M279" s="33"/>
      <c r="N279" s="33"/>
      <c r="O279" s="33"/>
    </row>
    <row r="280" spans="5:15" ht="16.5">
      <c r="E280" s="33"/>
      <c r="F280" s="34"/>
      <c r="G280" s="33"/>
      <c r="H280" s="33"/>
      <c r="I280" s="33"/>
      <c r="J280" s="33"/>
      <c r="L280" s="33"/>
      <c r="M280" s="33"/>
      <c r="N280" s="33"/>
      <c r="O280" s="33"/>
    </row>
    <row r="281" spans="5:15" ht="16.5">
      <c r="E281" s="33"/>
      <c r="F281" s="34"/>
      <c r="G281" s="33"/>
      <c r="H281" s="33"/>
      <c r="I281" s="33"/>
      <c r="J281" s="33"/>
      <c r="L281" s="33"/>
      <c r="M281" s="33"/>
      <c r="N281" s="33"/>
      <c r="O281" s="33"/>
    </row>
    <row r="282" spans="5:15" ht="16.5">
      <c r="E282" s="33"/>
      <c r="F282" s="34"/>
      <c r="G282" s="33"/>
      <c r="H282" s="33"/>
      <c r="I282" s="33"/>
      <c r="J282" s="33"/>
      <c r="L282" s="33"/>
      <c r="M282" s="33"/>
      <c r="N282" s="33"/>
      <c r="O282" s="33"/>
    </row>
    <row r="283" spans="5:15" ht="16.5">
      <c r="E283" s="33"/>
      <c r="F283" s="34"/>
      <c r="G283" s="33"/>
      <c r="H283" s="33"/>
      <c r="I283" s="33"/>
      <c r="J283" s="33"/>
      <c r="L283" s="33"/>
      <c r="M283" s="33"/>
      <c r="N283" s="33"/>
      <c r="O283" s="33"/>
    </row>
    <row r="284" spans="5:15" ht="16.5">
      <c r="E284" s="33"/>
      <c r="F284" s="34"/>
      <c r="G284" s="33"/>
      <c r="H284" s="33"/>
      <c r="I284" s="33"/>
      <c r="J284" s="33"/>
      <c r="L284" s="33"/>
      <c r="M284" s="33"/>
      <c r="N284" s="33"/>
      <c r="O284" s="33"/>
    </row>
    <row r="285" spans="5:15" ht="16.5">
      <c r="E285" s="33"/>
      <c r="F285" s="34"/>
      <c r="G285" s="33"/>
      <c r="H285" s="33"/>
      <c r="I285" s="33"/>
      <c r="J285" s="33"/>
      <c r="L285" s="33"/>
      <c r="M285" s="33"/>
      <c r="N285" s="33"/>
      <c r="O285" s="33"/>
    </row>
    <row r="286" spans="5:15" ht="16.5">
      <c r="E286" s="33"/>
      <c r="F286" s="34"/>
      <c r="G286" s="33"/>
      <c r="H286" s="33"/>
      <c r="I286" s="33"/>
      <c r="J286" s="33"/>
      <c r="L286" s="33"/>
      <c r="M286" s="33"/>
      <c r="N286" s="33"/>
      <c r="O286" s="33"/>
    </row>
    <row r="287" spans="5:15" ht="16.5">
      <c r="E287" s="33"/>
      <c r="F287" s="34"/>
      <c r="G287" s="33"/>
      <c r="H287" s="33"/>
      <c r="I287" s="33"/>
      <c r="J287" s="33"/>
      <c r="L287" s="33"/>
      <c r="M287" s="33"/>
      <c r="N287" s="33"/>
      <c r="O287" s="33"/>
    </row>
    <row r="288" spans="5:15" ht="16.5">
      <c r="E288" s="33"/>
      <c r="F288" s="34"/>
      <c r="G288" s="33"/>
      <c r="H288" s="33"/>
      <c r="I288" s="33"/>
      <c r="J288" s="33"/>
      <c r="L288" s="33"/>
      <c r="M288" s="33"/>
      <c r="N288" s="33"/>
      <c r="O288" s="33"/>
    </row>
    <row r="289" spans="5:15" ht="16.5">
      <c r="E289" s="33"/>
      <c r="F289" s="34"/>
      <c r="G289" s="33"/>
      <c r="H289" s="33"/>
      <c r="I289" s="33"/>
      <c r="J289" s="33"/>
      <c r="L289" s="33"/>
      <c r="M289" s="33"/>
      <c r="N289" s="33"/>
      <c r="O289" s="33"/>
    </row>
    <row r="290" spans="5:15" ht="16.5">
      <c r="E290" s="33"/>
      <c r="F290" s="34"/>
      <c r="G290" s="33"/>
      <c r="H290" s="33"/>
      <c r="I290" s="33"/>
      <c r="J290" s="33"/>
      <c r="L290" s="33"/>
      <c r="M290" s="33"/>
      <c r="N290" s="33"/>
      <c r="O290" s="33"/>
    </row>
    <row r="291" spans="5:15" ht="16.5">
      <c r="E291" s="33"/>
      <c r="F291" s="34"/>
      <c r="G291" s="33"/>
      <c r="H291" s="33"/>
      <c r="I291" s="33"/>
      <c r="J291" s="33"/>
      <c r="L291" s="33"/>
      <c r="M291" s="33"/>
      <c r="N291" s="33"/>
      <c r="O291" s="33"/>
    </row>
    <row r="292" spans="5:15" ht="16.5">
      <c r="E292" s="33"/>
      <c r="F292" s="34"/>
      <c r="G292" s="33"/>
      <c r="H292" s="33"/>
      <c r="I292" s="33"/>
      <c r="J292" s="33"/>
      <c r="L292" s="33"/>
      <c r="M292" s="33"/>
      <c r="N292" s="33"/>
      <c r="O292" s="33"/>
    </row>
    <row r="293" spans="5:15" ht="16.5">
      <c r="E293" s="33"/>
      <c r="F293" s="34"/>
      <c r="G293" s="33"/>
      <c r="H293" s="33"/>
      <c r="I293" s="33"/>
      <c r="J293" s="33"/>
      <c r="L293" s="33"/>
      <c r="M293" s="33"/>
      <c r="N293" s="33"/>
      <c r="O293" s="33"/>
    </row>
    <row r="294" spans="5:15" ht="16.5">
      <c r="E294" s="33"/>
      <c r="F294" s="34"/>
      <c r="G294" s="33"/>
      <c r="H294" s="33"/>
      <c r="I294" s="33"/>
      <c r="J294" s="33"/>
      <c r="L294" s="33"/>
      <c r="M294" s="33"/>
      <c r="N294" s="33"/>
      <c r="O294" s="33"/>
    </row>
    <row r="295" spans="5:15" ht="16.5">
      <c r="E295" s="33"/>
      <c r="F295" s="34"/>
      <c r="G295" s="33"/>
      <c r="H295" s="33"/>
      <c r="I295" s="33"/>
      <c r="J295" s="33"/>
      <c r="L295" s="33"/>
      <c r="M295" s="33"/>
      <c r="N295" s="33"/>
      <c r="O295" s="33"/>
    </row>
    <row r="296" spans="5:15" ht="16.5">
      <c r="E296" s="33"/>
      <c r="F296" s="34"/>
      <c r="G296" s="33"/>
      <c r="H296" s="33"/>
      <c r="I296" s="33"/>
      <c r="J296" s="33"/>
      <c r="L296" s="33"/>
      <c r="M296" s="33"/>
      <c r="N296" s="33"/>
      <c r="O296" s="33"/>
    </row>
    <row r="297" spans="5:15" ht="16.5">
      <c r="E297" s="33"/>
      <c r="F297" s="34"/>
      <c r="G297" s="33"/>
      <c r="H297" s="33"/>
      <c r="I297" s="33"/>
      <c r="J297" s="33"/>
      <c r="L297" s="33"/>
      <c r="M297" s="33"/>
      <c r="N297" s="33"/>
      <c r="O297" s="33"/>
    </row>
    <row r="298" spans="5:15" ht="16.5">
      <c r="E298" s="33"/>
      <c r="F298" s="34"/>
      <c r="G298" s="33"/>
      <c r="H298" s="33"/>
      <c r="I298" s="33"/>
      <c r="J298" s="33"/>
      <c r="L298" s="33"/>
      <c r="M298" s="33"/>
      <c r="N298" s="33"/>
      <c r="O298" s="33"/>
    </row>
    <row r="299" spans="5:15" ht="16.5">
      <c r="E299" s="33"/>
      <c r="F299" s="34"/>
      <c r="G299" s="33"/>
      <c r="H299" s="33"/>
      <c r="I299" s="33"/>
      <c r="J299" s="33"/>
      <c r="L299" s="33"/>
      <c r="M299" s="33"/>
      <c r="N299" s="33"/>
      <c r="O299" s="33"/>
    </row>
    <row r="300" spans="5:15" ht="16.5">
      <c r="E300" s="33"/>
      <c r="F300" s="34"/>
      <c r="G300" s="33"/>
      <c r="H300" s="33"/>
      <c r="I300" s="33"/>
      <c r="J300" s="33"/>
      <c r="L300" s="33"/>
      <c r="M300" s="33"/>
      <c r="N300" s="33"/>
      <c r="O300" s="33"/>
    </row>
    <row r="301" spans="5:15" ht="16.5">
      <c r="E301" s="33"/>
      <c r="F301" s="34"/>
      <c r="G301" s="33"/>
      <c r="H301" s="33"/>
      <c r="I301" s="33"/>
      <c r="J301" s="33"/>
      <c r="L301" s="33"/>
      <c r="M301" s="33"/>
      <c r="N301" s="33"/>
      <c r="O301" s="33"/>
    </row>
    <row r="302" spans="5:15" ht="16.5">
      <c r="E302" s="33"/>
      <c r="F302" s="34"/>
      <c r="G302" s="33"/>
      <c r="H302" s="33"/>
      <c r="I302" s="33"/>
      <c r="J302" s="33"/>
      <c r="L302" s="33"/>
      <c r="M302" s="33"/>
      <c r="N302" s="33"/>
      <c r="O302" s="33"/>
    </row>
    <row r="303" spans="5:15" ht="16.5">
      <c r="E303" s="33"/>
      <c r="F303" s="34"/>
      <c r="G303" s="33"/>
      <c r="H303" s="33"/>
      <c r="I303" s="33"/>
      <c r="J303" s="33"/>
      <c r="L303" s="33"/>
      <c r="M303" s="33"/>
      <c r="N303" s="33"/>
      <c r="O303" s="33"/>
    </row>
    <row r="304" spans="5:15" ht="16.5">
      <c r="E304" s="33"/>
      <c r="F304" s="34"/>
      <c r="G304" s="33"/>
      <c r="H304" s="33"/>
      <c r="I304" s="33"/>
      <c r="J304" s="33"/>
      <c r="L304" s="33"/>
      <c r="M304" s="33"/>
      <c r="N304" s="33"/>
      <c r="O304" s="33"/>
    </row>
    <row r="305" spans="5:15" ht="16.5">
      <c r="E305" s="33"/>
      <c r="F305" s="34"/>
      <c r="G305" s="33"/>
      <c r="H305" s="33"/>
      <c r="I305" s="33"/>
      <c r="J305" s="33"/>
      <c r="L305" s="33"/>
      <c r="M305" s="33"/>
      <c r="N305" s="33"/>
      <c r="O305" s="33"/>
    </row>
    <row r="306" spans="5:15" ht="16.5">
      <c r="E306" s="33"/>
      <c r="F306" s="34"/>
      <c r="G306" s="33"/>
      <c r="H306" s="33"/>
      <c r="I306" s="33"/>
      <c r="J306" s="33"/>
      <c r="L306" s="33"/>
      <c r="M306" s="33"/>
      <c r="N306" s="33"/>
      <c r="O306" s="33"/>
    </row>
    <row r="307" spans="5:15" ht="16.5">
      <c r="E307" s="33"/>
      <c r="F307" s="34"/>
      <c r="G307" s="33"/>
      <c r="H307" s="33"/>
      <c r="I307" s="33"/>
      <c r="J307" s="33"/>
      <c r="L307" s="33"/>
      <c r="M307" s="33"/>
      <c r="N307" s="33"/>
      <c r="O307" s="33"/>
    </row>
    <row r="308" spans="5:15" ht="16.5">
      <c r="E308" s="33"/>
      <c r="F308" s="34"/>
      <c r="G308" s="33"/>
      <c r="H308" s="33"/>
      <c r="I308" s="33"/>
      <c r="J308" s="33"/>
      <c r="L308" s="33"/>
      <c r="M308" s="33"/>
      <c r="N308" s="33"/>
      <c r="O308" s="33"/>
    </row>
    <row r="309" spans="5:15" ht="16.5">
      <c r="E309" s="33"/>
      <c r="F309" s="34"/>
      <c r="G309" s="33"/>
      <c r="H309" s="33"/>
      <c r="I309" s="33"/>
      <c r="J309" s="33"/>
      <c r="L309" s="33"/>
      <c r="M309" s="33"/>
      <c r="N309" s="33"/>
      <c r="O309" s="33"/>
    </row>
    <row r="310" spans="5:15" ht="16.5">
      <c r="E310" s="33"/>
      <c r="F310" s="34"/>
      <c r="G310" s="33"/>
      <c r="H310" s="33"/>
      <c r="I310" s="33"/>
      <c r="J310" s="33"/>
      <c r="L310" s="33"/>
      <c r="M310" s="33"/>
      <c r="N310" s="33"/>
      <c r="O310" s="33"/>
    </row>
    <row r="311" spans="5:15" ht="16.5">
      <c r="E311" s="33"/>
      <c r="F311" s="34"/>
      <c r="G311" s="33"/>
      <c r="H311" s="33"/>
      <c r="I311" s="33"/>
      <c r="J311" s="33"/>
      <c r="L311" s="33"/>
      <c r="M311" s="33"/>
      <c r="N311" s="33"/>
      <c r="O311" s="33"/>
    </row>
    <row r="312" spans="5:15" ht="16.5">
      <c r="E312" s="33"/>
      <c r="F312" s="34"/>
      <c r="G312" s="33"/>
      <c r="H312" s="33"/>
      <c r="I312" s="33"/>
      <c r="J312" s="33"/>
      <c r="L312" s="33"/>
      <c r="M312" s="33"/>
      <c r="N312" s="33"/>
      <c r="O312" s="33"/>
    </row>
    <row r="313" spans="5:15" ht="16.5">
      <c r="E313" s="33"/>
      <c r="F313" s="34"/>
      <c r="G313" s="33"/>
      <c r="H313" s="33"/>
      <c r="I313" s="33"/>
      <c r="J313" s="33"/>
      <c r="L313" s="33"/>
      <c r="M313" s="33"/>
      <c r="N313" s="33"/>
      <c r="O313" s="33"/>
    </row>
    <row r="314" spans="5:15" ht="16.5">
      <c r="E314" s="33"/>
      <c r="F314" s="34"/>
      <c r="G314" s="33"/>
      <c r="H314" s="33"/>
      <c r="I314" s="33"/>
      <c r="J314" s="33"/>
      <c r="L314" s="33"/>
      <c r="M314" s="33"/>
      <c r="N314" s="33"/>
      <c r="O314" s="33"/>
    </row>
    <row r="315" spans="5:15" ht="16.5">
      <c r="E315" s="33"/>
      <c r="F315" s="34"/>
      <c r="G315" s="33"/>
      <c r="H315" s="33"/>
      <c r="I315" s="33"/>
      <c r="J315" s="33"/>
      <c r="L315" s="33"/>
      <c r="M315" s="33"/>
      <c r="N315" s="33"/>
      <c r="O315" s="33"/>
    </row>
    <row r="316" spans="5:15" ht="16.5">
      <c r="E316" s="33"/>
      <c r="F316" s="34"/>
      <c r="G316" s="33"/>
      <c r="H316" s="33"/>
      <c r="I316" s="33"/>
      <c r="J316" s="33"/>
      <c r="L316" s="33"/>
      <c r="M316" s="33"/>
      <c r="N316" s="33"/>
      <c r="O316" s="33"/>
    </row>
    <row r="317" spans="5:15" ht="16.5">
      <c r="E317" s="33"/>
      <c r="F317" s="34"/>
      <c r="G317" s="33"/>
      <c r="H317" s="33"/>
      <c r="I317" s="33"/>
      <c r="J317" s="33"/>
      <c r="L317" s="33"/>
      <c r="M317" s="33"/>
      <c r="N317" s="33"/>
      <c r="O317" s="33"/>
    </row>
    <row r="318" spans="5:15" ht="16.5">
      <c r="E318" s="33"/>
      <c r="F318" s="34"/>
      <c r="G318" s="33"/>
      <c r="H318" s="33"/>
      <c r="I318" s="33"/>
      <c r="J318" s="33"/>
      <c r="L318" s="33"/>
      <c r="M318" s="33"/>
      <c r="N318" s="33"/>
      <c r="O318" s="33"/>
    </row>
    <row r="319" spans="5:15" ht="16.5">
      <c r="E319" s="33"/>
      <c r="F319" s="34"/>
      <c r="G319" s="33"/>
      <c r="H319" s="33"/>
      <c r="I319" s="33"/>
      <c r="J319" s="33"/>
      <c r="L319" s="33"/>
      <c r="M319" s="33"/>
      <c r="N319" s="33"/>
      <c r="O319" s="33"/>
    </row>
    <row r="320" spans="5:15" ht="16.5">
      <c r="E320" s="33"/>
      <c r="F320" s="34"/>
      <c r="G320" s="33"/>
      <c r="H320" s="33"/>
      <c r="I320" s="33"/>
      <c r="J320" s="33"/>
      <c r="L320" s="33"/>
      <c r="M320" s="33"/>
      <c r="N320" s="33"/>
      <c r="O320" s="33"/>
    </row>
    <row r="321" spans="5:15" ht="16.5">
      <c r="E321" s="33"/>
      <c r="F321" s="34"/>
      <c r="G321" s="33"/>
      <c r="H321" s="33"/>
      <c r="I321" s="33"/>
      <c r="J321" s="33"/>
      <c r="L321" s="33"/>
      <c r="M321" s="33"/>
      <c r="N321" s="33"/>
      <c r="O321" s="33"/>
    </row>
    <row r="322" spans="5:15" ht="16.5">
      <c r="E322" s="33"/>
      <c r="F322" s="34"/>
      <c r="G322" s="33"/>
      <c r="H322" s="33"/>
      <c r="I322" s="33"/>
      <c r="J322" s="33"/>
      <c r="L322" s="33"/>
      <c r="M322" s="33"/>
      <c r="N322" s="33"/>
      <c r="O322" s="33"/>
    </row>
    <row r="323" spans="5:15" ht="16.5">
      <c r="E323" s="33"/>
      <c r="F323" s="34"/>
      <c r="G323" s="33"/>
      <c r="H323" s="33"/>
      <c r="I323" s="33"/>
      <c r="J323" s="33"/>
      <c r="L323" s="33"/>
      <c r="M323" s="33"/>
      <c r="N323" s="33"/>
      <c r="O323" s="33"/>
    </row>
    <row r="324" spans="5:15" ht="16.5">
      <c r="E324" s="33"/>
      <c r="F324" s="34"/>
      <c r="G324" s="33"/>
      <c r="H324" s="33"/>
      <c r="I324" s="33"/>
      <c r="J324" s="33"/>
      <c r="L324" s="33"/>
      <c r="M324" s="33"/>
      <c r="N324" s="33"/>
      <c r="O324" s="33"/>
    </row>
    <row r="325" spans="5:15" ht="16.5">
      <c r="E325" s="33"/>
      <c r="F325" s="34"/>
      <c r="G325" s="33"/>
      <c r="H325" s="33"/>
      <c r="I325" s="33"/>
      <c r="J325" s="33"/>
      <c r="L325" s="33"/>
      <c r="M325" s="33"/>
      <c r="N325" s="33"/>
      <c r="O325" s="33"/>
    </row>
    <row r="326" spans="5:15" ht="16.5">
      <c r="E326" s="33"/>
      <c r="F326" s="34"/>
      <c r="G326" s="33"/>
      <c r="H326" s="33"/>
      <c r="I326" s="33"/>
      <c r="J326" s="33"/>
      <c r="L326" s="33"/>
      <c r="M326" s="33"/>
      <c r="N326" s="33"/>
      <c r="O326" s="33"/>
    </row>
    <row r="327" spans="5:15" ht="16.5">
      <c r="E327" s="33"/>
      <c r="F327" s="34"/>
      <c r="G327" s="33"/>
      <c r="H327" s="33"/>
      <c r="I327" s="33"/>
      <c r="J327" s="33"/>
      <c r="L327" s="33"/>
      <c r="M327" s="33"/>
      <c r="N327" s="33"/>
      <c r="O327" s="33"/>
    </row>
    <row r="328" spans="5:15" ht="16.5">
      <c r="E328" s="33"/>
      <c r="F328" s="34"/>
      <c r="G328" s="33"/>
      <c r="H328" s="33"/>
      <c r="I328" s="33"/>
      <c r="J328" s="33"/>
      <c r="L328" s="33"/>
      <c r="M328" s="33"/>
      <c r="N328" s="33"/>
      <c r="O328" s="33"/>
    </row>
    <row r="329" spans="5:15" ht="16.5">
      <c r="E329" s="33"/>
      <c r="F329" s="34"/>
      <c r="G329" s="33"/>
      <c r="H329" s="33"/>
      <c r="I329" s="33"/>
      <c r="J329" s="33"/>
      <c r="L329" s="33"/>
      <c r="M329" s="33"/>
      <c r="N329" s="33"/>
      <c r="O329" s="33"/>
    </row>
    <row r="330" spans="5:15" ht="16.5">
      <c r="E330" s="33"/>
      <c r="F330" s="34"/>
      <c r="G330" s="33"/>
      <c r="H330" s="33"/>
      <c r="I330" s="33"/>
      <c r="J330" s="33"/>
      <c r="L330" s="33"/>
      <c r="M330" s="33"/>
      <c r="N330" s="33"/>
      <c r="O330" s="33"/>
    </row>
    <row r="331" spans="5:15" ht="16.5">
      <c r="E331" s="33"/>
      <c r="F331" s="34"/>
      <c r="G331" s="33"/>
      <c r="H331" s="33"/>
      <c r="I331" s="33"/>
      <c r="J331" s="33"/>
      <c r="L331" s="33"/>
      <c r="M331" s="33"/>
      <c r="N331" s="33"/>
      <c r="O331" s="33"/>
    </row>
    <row r="332" spans="5:15" ht="16.5">
      <c r="E332" s="33"/>
      <c r="F332" s="34"/>
      <c r="G332" s="33"/>
      <c r="H332" s="33"/>
      <c r="I332" s="33"/>
      <c r="J332" s="33"/>
      <c r="L332" s="33"/>
      <c r="M332" s="33"/>
      <c r="N332" s="33"/>
      <c r="O332" s="33"/>
    </row>
    <row r="333" spans="5:15" ht="16.5">
      <c r="E333" s="33"/>
      <c r="F333" s="34"/>
      <c r="G333" s="33"/>
      <c r="H333" s="33"/>
      <c r="I333" s="33"/>
      <c r="J333" s="33"/>
      <c r="L333" s="33"/>
      <c r="M333" s="33"/>
      <c r="N333" s="33"/>
      <c r="O333" s="33"/>
    </row>
    <row r="334" spans="5:15" ht="16.5">
      <c r="E334" s="33"/>
      <c r="F334" s="34"/>
      <c r="G334" s="33"/>
      <c r="H334" s="33"/>
      <c r="I334" s="33"/>
      <c r="J334" s="33"/>
      <c r="L334" s="33"/>
      <c r="M334" s="33"/>
      <c r="N334" s="33"/>
      <c r="O334" s="33"/>
    </row>
    <row r="335" spans="5:15" ht="16.5">
      <c r="E335" s="33"/>
      <c r="F335" s="34"/>
      <c r="G335" s="33"/>
      <c r="H335" s="33"/>
      <c r="I335" s="33"/>
      <c r="J335" s="33"/>
      <c r="L335" s="33"/>
      <c r="M335" s="33"/>
      <c r="N335" s="33"/>
      <c r="O335" s="33"/>
    </row>
    <row r="336" spans="5:15" ht="16.5">
      <c r="E336" s="33"/>
      <c r="F336" s="34"/>
      <c r="G336" s="33"/>
      <c r="H336" s="33"/>
      <c r="I336" s="33"/>
      <c r="J336" s="33"/>
      <c r="L336" s="33"/>
      <c r="M336" s="33"/>
      <c r="N336" s="33"/>
      <c r="O336" s="33"/>
    </row>
    <row r="337" spans="5:15" ht="16.5">
      <c r="E337" s="33"/>
      <c r="F337" s="34"/>
      <c r="G337" s="33"/>
      <c r="H337" s="33"/>
      <c r="I337" s="33"/>
      <c r="J337" s="33"/>
      <c r="L337" s="33"/>
      <c r="M337" s="33"/>
      <c r="N337" s="33"/>
      <c r="O337" s="33"/>
    </row>
    <row r="338" spans="5:15" ht="16.5">
      <c r="E338" s="33"/>
      <c r="F338" s="34"/>
      <c r="G338" s="33"/>
      <c r="H338" s="33"/>
      <c r="I338" s="33"/>
      <c r="J338" s="33"/>
      <c r="L338" s="33"/>
      <c r="M338" s="33"/>
      <c r="N338" s="33"/>
      <c r="O338" s="33"/>
    </row>
    <row r="339" spans="5:15" ht="16.5">
      <c r="E339" s="33"/>
      <c r="F339" s="34"/>
      <c r="G339" s="33"/>
      <c r="H339" s="33"/>
      <c r="I339" s="33"/>
      <c r="J339" s="33"/>
      <c r="L339" s="33"/>
      <c r="M339" s="33"/>
      <c r="N339" s="33"/>
      <c r="O339" s="33"/>
    </row>
    <row r="340" spans="5:15" ht="16.5">
      <c r="E340" s="33"/>
      <c r="F340" s="34"/>
      <c r="G340" s="33"/>
      <c r="H340" s="33"/>
      <c r="I340" s="33"/>
      <c r="J340" s="33"/>
      <c r="L340" s="33"/>
      <c r="M340" s="33"/>
      <c r="N340" s="33"/>
      <c r="O340" s="33"/>
    </row>
    <row r="341" spans="5:15" ht="16.5">
      <c r="E341" s="33"/>
      <c r="F341" s="34"/>
      <c r="G341" s="33"/>
      <c r="H341" s="33"/>
      <c r="I341" s="33"/>
      <c r="J341" s="33"/>
      <c r="L341" s="33"/>
      <c r="M341" s="33"/>
      <c r="N341" s="33"/>
      <c r="O341" s="33"/>
    </row>
    <row r="342" spans="5:15" ht="16.5">
      <c r="E342" s="33"/>
      <c r="F342" s="34"/>
      <c r="G342" s="33"/>
      <c r="H342" s="33"/>
      <c r="I342" s="33"/>
      <c r="J342" s="33"/>
      <c r="L342" s="33"/>
      <c r="M342" s="33"/>
      <c r="N342" s="33"/>
      <c r="O342" s="33"/>
    </row>
    <row r="343" spans="5:15" ht="16.5">
      <c r="E343" s="33"/>
      <c r="F343" s="34"/>
      <c r="G343" s="33"/>
      <c r="H343" s="33"/>
      <c r="I343" s="33"/>
      <c r="J343" s="33"/>
      <c r="L343" s="33"/>
      <c r="M343" s="33"/>
      <c r="N343" s="33"/>
      <c r="O343" s="33"/>
    </row>
    <row r="344" spans="5:15" ht="16.5">
      <c r="E344" s="33"/>
      <c r="F344" s="34"/>
      <c r="G344" s="33"/>
      <c r="H344" s="33"/>
      <c r="I344" s="33"/>
      <c r="J344" s="33"/>
      <c r="L344" s="33"/>
      <c r="M344" s="33"/>
      <c r="N344" s="33"/>
      <c r="O344" s="33"/>
    </row>
    <row r="345" spans="5:15" ht="16.5">
      <c r="E345" s="33"/>
      <c r="F345" s="34"/>
      <c r="G345" s="33"/>
      <c r="H345" s="33"/>
      <c r="I345" s="33"/>
      <c r="J345" s="33"/>
      <c r="L345" s="33"/>
      <c r="M345" s="33"/>
      <c r="N345" s="33"/>
      <c r="O345" s="33"/>
    </row>
    <row r="346" spans="5:15" ht="16.5">
      <c r="E346" s="33"/>
      <c r="F346" s="34"/>
      <c r="G346" s="33"/>
      <c r="H346" s="33"/>
      <c r="I346" s="33"/>
      <c r="J346" s="33"/>
      <c r="L346" s="33"/>
      <c r="M346" s="33"/>
      <c r="N346" s="33"/>
      <c r="O346" s="33"/>
    </row>
    <row r="347" spans="5:15" ht="16.5">
      <c r="E347" s="33"/>
      <c r="F347" s="34"/>
      <c r="G347" s="33"/>
      <c r="H347" s="33"/>
      <c r="I347" s="33"/>
      <c r="J347" s="33"/>
      <c r="L347" s="33"/>
      <c r="M347" s="33"/>
      <c r="N347" s="33"/>
      <c r="O347" s="33"/>
    </row>
    <row r="348" spans="5:15" ht="16.5">
      <c r="E348" s="33"/>
      <c r="F348" s="34"/>
      <c r="G348" s="33"/>
      <c r="H348" s="33"/>
      <c r="I348" s="33"/>
      <c r="J348" s="33"/>
      <c r="L348" s="33"/>
      <c r="M348" s="33"/>
      <c r="N348" s="33"/>
      <c r="O348" s="33"/>
    </row>
    <row r="349" spans="5:15" ht="16.5">
      <c r="E349" s="33"/>
      <c r="F349" s="34"/>
      <c r="G349" s="33"/>
      <c r="H349" s="33"/>
      <c r="I349" s="33"/>
      <c r="J349" s="33"/>
      <c r="L349" s="33"/>
      <c r="M349" s="33"/>
      <c r="N349" s="33"/>
      <c r="O349" s="33"/>
    </row>
    <row r="350" spans="5:15" ht="16.5">
      <c r="E350" s="33"/>
      <c r="F350" s="34"/>
      <c r="G350" s="33"/>
      <c r="H350" s="33"/>
      <c r="I350" s="33"/>
      <c r="J350" s="33"/>
      <c r="L350" s="33"/>
      <c r="M350" s="33"/>
      <c r="N350" s="33"/>
      <c r="O350" s="33"/>
    </row>
    <row r="351" spans="5:15" ht="16.5">
      <c r="E351" s="33"/>
      <c r="F351" s="34"/>
      <c r="G351" s="33"/>
      <c r="H351" s="33"/>
      <c r="I351" s="33"/>
      <c r="J351" s="33"/>
      <c r="L351" s="33"/>
      <c r="M351" s="33"/>
      <c r="N351" s="33"/>
      <c r="O351" s="33"/>
    </row>
    <row r="352" spans="5:15" ht="16.5">
      <c r="E352" s="33"/>
      <c r="F352" s="34"/>
      <c r="G352" s="33"/>
      <c r="H352" s="33"/>
      <c r="I352" s="33"/>
      <c r="J352" s="33"/>
      <c r="L352" s="33"/>
      <c r="M352" s="33"/>
      <c r="N352" s="33"/>
      <c r="O352" s="33"/>
    </row>
    <row r="353" spans="5:15" ht="16.5">
      <c r="E353" s="33"/>
      <c r="F353" s="34"/>
      <c r="G353" s="33"/>
      <c r="H353" s="33"/>
      <c r="I353" s="33"/>
      <c r="J353" s="33"/>
      <c r="L353" s="33"/>
      <c r="M353" s="33"/>
      <c r="N353" s="33"/>
      <c r="O353" s="33"/>
    </row>
    <row r="354" spans="5:15" ht="16.5">
      <c r="E354" s="33"/>
      <c r="F354" s="34"/>
      <c r="G354" s="33"/>
      <c r="H354" s="33"/>
      <c r="I354" s="33"/>
      <c r="J354" s="33"/>
      <c r="L354" s="33"/>
      <c r="M354" s="33"/>
      <c r="N354" s="33"/>
      <c r="O354" s="33"/>
    </row>
    <row r="355" spans="5:15" ht="16.5">
      <c r="E355" s="33"/>
      <c r="F355" s="34"/>
      <c r="G355" s="33"/>
      <c r="H355" s="33"/>
      <c r="I355" s="33"/>
      <c r="J355" s="33"/>
      <c r="L355" s="33"/>
      <c r="M355" s="33"/>
      <c r="N355" s="33"/>
      <c r="O355" s="33"/>
    </row>
    <row r="356" spans="5:15" ht="16.5">
      <c r="E356" s="33"/>
      <c r="F356" s="34"/>
      <c r="G356" s="33"/>
      <c r="H356" s="33"/>
      <c r="I356" s="33"/>
      <c r="J356" s="33"/>
      <c r="L356" s="33"/>
      <c r="M356" s="33"/>
      <c r="N356" s="33"/>
      <c r="O356" s="33"/>
    </row>
    <row r="357" spans="5:15" ht="16.5">
      <c r="E357" s="33"/>
      <c r="F357" s="34"/>
      <c r="G357" s="33"/>
      <c r="H357" s="33"/>
      <c r="I357" s="33"/>
      <c r="J357" s="33"/>
      <c r="L357" s="33"/>
      <c r="M357" s="33"/>
      <c r="N357" s="33"/>
      <c r="O357" s="33"/>
    </row>
    <row r="358" spans="5:15" ht="16.5">
      <c r="E358" s="33"/>
      <c r="F358" s="34"/>
      <c r="G358" s="33"/>
      <c r="H358" s="33"/>
      <c r="I358" s="33"/>
      <c r="J358" s="33"/>
      <c r="L358" s="33"/>
      <c r="M358" s="33"/>
      <c r="N358" s="33"/>
      <c r="O358" s="33"/>
    </row>
    <row r="359" spans="5:15" ht="16.5">
      <c r="E359" s="33"/>
      <c r="F359" s="34"/>
      <c r="G359" s="33"/>
      <c r="H359" s="33"/>
      <c r="I359" s="33"/>
      <c r="J359" s="33"/>
      <c r="L359" s="33"/>
      <c r="M359" s="33"/>
      <c r="N359" s="33"/>
      <c r="O359" s="33"/>
    </row>
    <row r="360" spans="5:15" ht="16.5">
      <c r="E360" s="33"/>
      <c r="F360" s="34"/>
      <c r="G360" s="33"/>
      <c r="H360" s="33"/>
      <c r="I360" s="33"/>
      <c r="J360" s="33"/>
      <c r="L360" s="33"/>
      <c r="M360" s="33"/>
      <c r="N360" s="33"/>
      <c r="O360" s="33"/>
    </row>
    <row r="361" spans="5:15" ht="16.5">
      <c r="E361" s="33"/>
      <c r="F361" s="34"/>
      <c r="G361" s="33"/>
      <c r="H361" s="33"/>
      <c r="I361" s="33"/>
      <c r="J361" s="33"/>
      <c r="L361" s="33"/>
      <c r="M361" s="33"/>
      <c r="N361" s="33"/>
      <c r="O361" s="33"/>
    </row>
    <row r="362" spans="5:15" ht="16.5">
      <c r="E362" s="33"/>
      <c r="F362" s="34"/>
      <c r="G362" s="33"/>
      <c r="H362" s="33"/>
      <c r="I362" s="33"/>
      <c r="J362" s="33"/>
      <c r="L362" s="33"/>
      <c r="M362" s="33"/>
      <c r="N362" s="33"/>
      <c r="O362" s="33"/>
    </row>
    <row r="363" spans="5:15" ht="16.5">
      <c r="E363" s="33"/>
      <c r="F363" s="34"/>
      <c r="G363" s="33"/>
      <c r="H363" s="33"/>
      <c r="I363" s="33"/>
      <c r="J363" s="33"/>
      <c r="L363" s="33"/>
      <c r="M363" s="33"/>
      <c r="N363" s="33"/>
      <c r="O363" s="33"/>
    </row>
    <row r="364" spans="5:15" ht="16.5">
      <c r="E364" s="33"/>
      <c r="F364" s="34"/>
      <c r="G364" s="33"/>
      <c r="H364" s="33"/>
      <c r="I364" s="33"/>
      <c r="J364" s="33"/>
      <c r="L364" s="33"/>
      <c r="M364" s="33"/>
      <c r="N364" s="33"/>
      <c r="O364" s="33"/>
    </row>
    <row r="365" spans="5:15" ht="16.5">
      <c r="E365" s="33"/>
      <c r="F365" s="34"/>
      <c r="G365" s="33"/>
      <c r="H365" s="33"/>
      <c r="I365" s="33"/>
      <c r="J365" s="33"/>
      <c r="L365" s="33"/>
      <c r="M365" s="33"/>
      <c r="N365" s="33"/>
      <c r="O365" s="33"/>
    </row>
    <row r="366" spans="5:15" ht="16.5">
      <c r="E366" s="33"/>
      <c r="F366" s="34"/>
      <c r="G366" s="33"/>
      <c r="H366" s="33"/>
      <c r="I366" s="33"/>
      <c r="J366" s="33"/>
      <c r="L366" s="33"/>
      <c r="M366" s="33"/>
      <c r="N366" s="33"/>
      <c r="O366" s="33"/>
    </row>
    <row r="367" spans="5:15" ht="16.5">
      <c r="E367" s="33"/>
      <c r="F367" s="34"/>
      <c r="G367" s="33"/>
      <c r="H367" s="33"/>
      <c r="I367" s="33"/>
      <c r="J367" s="33"/>
      <c r="L367" s="33"/>
      <c r="M367" s="33"/>
      <c r="N367" s="33"/>
      <c r="O367" s="33"/>
    </row>
    <row r="368" spans="5:15" ht="16.5">
      <c r="E368" s="33"/>
      <c r="F368" s="34"/>
      <c r="G368" s="33"/>
      <c r="H368" s="33"/>
      <c r="I368" s="33"/>
      <c r="J368" s="33"/>
      <c r="L368" s="33"/>
      <c r="M368" s="33"/>
      <c r="N368" s="33"/>
      <c r="O368" s="33"/>
    </row>
    <row r="369" spans="5:15" ht="16.5">
      <c r="E369" s="33"/>
      <c r="F369" s="34"/>
      <c r="G369" s="33"/>
      <c r="H369" s="33"/>
      <c r="I369" s="33"/>
      <c r="J369" s="33"/>
      <c r="L369" s="33"/>
      <c r="M369" s="33"/>
      <c r="N369" s="33"/>
      <c r="O369" s="33"/>
    </row>
    <row r="370" spans="5:15" ht="16.5">
      <c r="E370" s="33"/>
      <c r="F370" s="34"/>
      <c r="G370" s="33"/>
      <c r="H370" s="33"/>
      <c r="I370" s="33"/>
      <c r="J370" s="33"/>
      <c r="L370" s="33"/>
      <c r="M370" s="33"/>
      <c r="N370" s="33"/>
      <c r="O370" s="33"/>
    </row>
    <row r="371" spans="5:15" ht="16.5">
      <c r="E371" s="33"/>
      <c r="F371" s="34"/>
      <c r="G371" s="33"/>
      <c r="H371" s="33"/>
      <c r="I371" s="33"/>
      <c r="J371" s="33"/>
      <c r="L371" s="33"/>
      <c r="M371" s="33"/>
      <c r="N371" s="33"/>
      <c r="O371" s="33"/>
    </row>
    <row r="372" spans="5:15" ht="16.5">
      <c r="E372" s="33"/>
      <c r="F372" s="34"/>
      <c r="G372" s="33"/>
      <c r="H372" s="33"/>
      <c r="I372" s="33"/>
      <c r="J372" s="33"/>
      <c r="L372" s="33"/>
      <c r="M372" s="33"/>
      <c r="N372" s="33"/>
      <c r="O372" s="33"/>
    </row>
    <row r="373" spans="5:15" ht="16.5">
      <c r="E373" s="33"/>
      <c r="F373" s="34"/>
      <c r="G373" s="33"/>
      <c r="H373" s="33"/>
      <c r="I373" s="33"/>
      <c r="J373" s="33"/>
      <c r="L373" s="33"/>
      <c r="M373" s="33"/>
      <c r="N373" s="33"/>
      <c r="O373" s="33"/>
    </row>
    <row r="374" spans="5:15" ht="16.5">
      <c r="E374" s="33"/>
      <c r="F374" s="34"/>
      <c r="G374" s="33"/>
      <c r="H374" s="33"/>
      <c r="I374" s="33"/>
      <c r="J374" s="33"/>
      <c r="L374" s="33"/>
      <c r="M374" s="33"/>
      <c r="N374" s="33"/>
      <c r="O374" s="33"/>
    </row>
  </sheetData>
  <mergeCells count="34">
    <mergeCell ref="A9:C9"/>
    <mergeCell ref="A10:C10"/>
    <mergeCell ref="A5:C5"/>
    <mergeCell ref="A6:C6"/>
    <mergeCell ref="A7:C7"/>
    <mergeCell ref="A8:C8"/>
    <mergeCell ref="A22:C22"/>
    <mergeCell ref="A23:C23"/>
    <mergeCell ref="A24:C24"/>
    <mergeCell ref="H19:J20"/>
    <mergeCell ref="A29:C29"/>
    <mergeCell ref="A26:C26"/>
    <mergeCell ref="A27:C27"/>
    <mergeCell ref="A25:C25"/>
    <mergeCell ref="A13:C13"/>
    <mergeCell ref="A14:C14"/>
    <mergeCell ref="A20:C20"/>
    <mergeCell ref="A21:C21"/>
    <mergeCell ref="A15:C15"/>
    <mergeCell ref="A17:C17"/>
    <mergeCell ref="A30:C30"/>
    <mergeCell ref="P35:Q35"/>
    <mergeCell ref="A32:C32"/>
    <mergeCell ref="A33:C33"/>
    <mergeCell ref="AD38:AH38"/>
    <mergeCell ref="A34:C34"/>
    <mergeCell ref="A35:C35"/>
    <mergeCell ref="A38:E38"/>
    <mergeCell ref="T38:X38"/>
    <mergeCell ref="Y38:AC38"/>
    <mergeCell ref="F38:J38"/>
    <mergeCell ref="T37:AC37"/>
    <mergeCell ref="K38:P38"/>
    <mergeCell ref="P34:Q34"/>
  </mergeCells>
  <printOptions/>
  <pageMargins left="0.35433070866141736" right="0.35433070866141736" top="0.7874015748031497" bottom="0.5905511811023623" header="0.5118110236220472" footer="0.5118110236220472"/>
  <pageSetup horizontalDpi="600" verticalDpi="600" orientation="landscape" r:id="rId5"/>
  <drawing r:id="rId4"/>
  <legacyDrawing r:id="rId3"/>
  <oleObjects>
    <oleObject progId="Mathcad" shapeId="86863960" r:id="rId1"/>
    <oleObject progId="Equation.3" shapeId="8686396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Wilson</dc:creator>
  <cp:keywords/>
  <dc:description/>
  <cp:lastModifiedBy>Martin Wilson</cp:lastModifiedBy>
  <cp:lastPrinted>2004-06-20T03:11:54Z</cp:lastPrinted>
  <dcterms:created xsi:type="dcterms:W3CDTF">1999-02-19T18:19:08Z</dcterms:created>
  <dcterms:modified xsi:type="dcterms:W3CDTF">2004-06-20T04:11:14Z</dcterms:modified>
  <cp:category/>
  <cp:version/>
  <cp:contentType/>
  <cp:contentStatus/>
</cp:coreProperties>
</file>