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20" windowWidth="15330" windowHeight="6255" activeTab="0"/>
  </bookViews>
  <sheets>
    <sheet name="4T 1Tps ft=2" sheetId="1" r:id="rId1"/>
    <sheet name="4T 2Tps ft=2" sheetId="2" r:id="rId2"/>
  </sheets>
  <definedNames/>
  <calcPr fullCalcOnLoad="1"/>
</workbook>
</file>

<file path=xl/sharedStrings.xml><?xml version="1.0" encoding="utf-8"?>
<sst xmlns="http://schemas.openxmlformats.org/spreadsheetml/2006/main" count="356" uniqueCount="162">
  <si>
    <t>cable half width a</t>
  </si>
  <si>
    <t>cable half thickness b</t>
  </si>
  <si>
    <t>cable twist pitch</t>
  </si>
  <si>
    <t>a</t>
  </si>
  <si>
    <t>b</t>
  </si>
  <si>
    <t>p</t>
  </si>
  <si>
    <t>crossover resistance</t>
  </si>
  <si>
    <t>Rc</t>
  </si>
  <si>
    <t>m</t>
  </si>
  <si>
    <t>ohm</t>
  </si>
  <si>
    <t>number of strands</t>
  </si>
  <si>
    <t>N</t>
  </si>
  <si>
    <t>adjacent resistance</t>
  </si>
  <si>
    <t>Ra</t>
  </si>
  <si>
    <t>rc</t>
  </si>
  <si>
    <t>ra</t>
  </si>
  <si>
    <t>ohm.m</t>
  </si>
  <si>
    <t>ohm.m^2</t>
  </si>
  <si>
    <t>permeability fs</t>
  </si>
  <si>
    <t>henry/m</t>
  </si>
  <si>
    <t>t</t>
  </si>
  <si>
    <t>sec</t>
  </si>
  <si>
    <t xml:space="preserve">    </t>
  </si>
  <si>
    <t>cable filling factor</t>
  </si>
  <si>
    <t>wire filling factor</t>
  </si>
  <si>
    <t>lw</t>
  </si>
  <si>
    <t>filament filling factor</t>
  </si>
  <si>
    <t>Tesla</t>
  </si>
  <si>
    <t>computed aperture field</t>
  </si>
  <si>
    <t>f</t>
  </si>
  <si>
    <t>ramp time</t>
  </si>
  <si>
    <t>angle</t>
  </si>
  <si>
    <t>B trans</t>
  </si>
  <si>
    <t>G trans</t>
  </si>
  <si>
    <t>B parl</t>
  </si>
  <si>
    <t>B` trans</t>
  </si>
  <si>
    <t>Bmod</t>
  </si>
  <si>
    <t>Ptc</t>
  </si>
  <si>
    <t>Pta</t>
  </si>
  <si>
    <t>Pp</t>
  </si>
  <si>
    <t>Pf</t>
  </si>
  <si>
    <t>filament diameter</t>
  </si>
  <si>
    <t>df</t>
  </si>
  <si>
    <t>m^2</t>
  </si>
  <si>
    <t>actual field ramp rates</t>
  </si>
  <si>
    <t>G` trans</t>
  </si>
  <si>
    <t>B` parl</t>
  </si>
  <si>
    <t>B`mod</t>
  </si>
  <si>
    <t xml:space="preserve">Kim Anderson </t>
  </si>
  <si>
    <t>A/m^2</t>
  </si>
  <si>
    <t>components of loss</t>
  </si>
  <si>
    <t>Ps</t>
  </si>
  <si>
    <t>sum</t>
  </si>
  <si>
    <t>loss</t>
  </si>
  <si>
    <t>degree</t>
  </si>
  <si>
    <t>Pd</t>
  </si>
  <si>
    <t>loss / m /</t>
  </si>
  <si>
    <t>Block limits for integration</t>
  </si>
  <si>
    <t>block</t>
  </si>
  <si>
    <t>watts</t>
  </si>
  <si>
    <t>Totals</t>
  </si>
  <si>
    <t>% of total</t>
  </si>
  <si>
    <t>wire transverse resistivity</t>
  </si>
  <si>
    <t>wire twist pitch</t>
  </si>
  <si>
    <t>pw</t>
  </si>
  <si>
    <t>wire coupling time const</t>
  </si>
  <si>
    <t xml:space="preserve"> dc fields as computed at centre of cable</t>
  </si>
  <si>
    <t>A/m^2/T</t>
  </si>
  <si>
    <t>Bcomp</t>
  </si>
  <si>
    <t>metre</t>
  </si>
  <si>
    <t>transverse crossover loss / total =</t>
  </si>
  <si>
    <t>transverse adjacent loss / total =</t>
  </si>
  <si>
    <t>parallel loss / total =</t>
  </si>
  <si>
    <t>filament coupling loss / total =</t>
  </si>
  <si>
    <t>length of magnet =</t>
  </si>
  <si>
    <t>hysteresis loss / total =</t>
  </si>
  <si>
    <t>ramp rate</t>
  </si>
  <si>
    <t>T/s</t>
  </si>
  <si>
    <t>B`</t>
  </si>
  <si>
    <t>turn area per degree =</t>
  </si>
  <si>
    <t>cycle time =</t>
  </si>
  <si>
    <t>Tr</t>
  </si>
  <si>
    <t>ramping total loss / metre / quadrant =</t>
  </si>
  <si>
    <t>maximum =</t>
  </si>
  <si>
    <r>
      <t>r</t>
    </r>
    <r>
      <rPr>
        <sz val="11"/>
        <rFont val="Arial Narrow"/>
        <family val="2"/>
      </rPr>
      <t>x</t>
    </r>
  </si>
  <si>
    <r>
      <t>m</t>
    </r>
    <r>
      <rPr>
        <sz val="11"/>
        <rFont val="Arial Narrow"/>
        <family val="2"/>
      </rPr>
      <t>o</t>
    </r>
  </si>
  <si>
    <r>
      <t>l</t>
    </r>
    <r>
      <rPr>
        <sz val="11"/>
        <rFont val="Arial Narrow"/>
        <family val="2"/>
      </rPr>
      <t>c</t>
    </r>
  </si>
  <si>
    <r>
      <t>l</t>
    </r>
    <r>
      <rPr>
        <sz val="11"/>
        <rFont val="Arial"/>
        <family val="2"/>
      </rPr>
      <t>f</t>
    </r>
  </si>
  <si>
    <r>
      <t>r</t>
    </r>
    <r>
      <rPr>
        <sz val="11"/>
        <rFont val="Arial"/>
        <family val="2"/>
      </rPr>
      <t>t</t>
    </r>
  </si>
  <si>
    <r>
      <t>J</t>
    </r>
    <r>
      <rPr>
        <vertAlign val="subscript"/>
        <sz val="11"/>
        <rFont val="Arial"/>
        <family val="2"/>
      </rPr>
      <t>o</t>
    </r>
  </si>
  <si>
    <r>
      <t>B</t>
    </r>
    <r>
      <rPr>
        <vertAlign val="subscript"/>
        <sz val="11"/>
        <rFont val="Arial"/>
        <family val="2"/>
      </rPr>
      <t>o</t>
    </r>
  </si>
  <si>
    <r>
      <t>min</t>
    </r>
    <r>
      <rPr>
        <sz val="11"/>
        <rFont val="Symbol"/>
        <family val="1"/>
      </rPr>
      <t xml:space="preserve"> f</t>
    </r>
  </si>
  <si>
    <r>
      <t>max</t>
    </r>
    <r>
      <rPr>
        <sz val="11"/>
        <rFont val="Symbol"/>
        <family val="1"/>
      </rPr>
      <t xml:space="preserve"> f</t>
    </r>
  </si>
  <si>
    <r>
      <t>A</t>
    </r>
    <r>
      <rPr>
        <vertAlign val="subscript"/>
        <sz val="11"/>
        <rFont val="Arial"/>
        <family val="2"/>
      </rPr>
      <t>0</t>
    </r>
  </si>
  <si>
    <r>
      <t>A</t>
    </r>
    <r>
      <rPr>
        <vertAlign val="subscript"/>
        <sz val="11"/>
        <rFont val="Arial"/>
        <family val="2"/>
      </rPr>
      <t>1</t>
    </r>
  </si>
  <si>
    <t>ramp ratio Bi / Be</t>
  </si>
  <si>
    <t>ramping/average factor</t>
  </si>
  <si>
    <t>cooking factor transverse</t>
  </si>
  <si>
    <t>ft</t>
  </si>
  <si>
    <t>fp</t>
  </si>
  <si>
    <t>fh</t>
  </si>
  <si>
    <t>cooking factor parallel</t>
  </si>
  <si>
    <t>cooking factor hysteresis</t>
  </si>
  <si>
    <t>matrix ratio</t>
  </si>
  <si>
    <t>mat</t>
  </si>
  <si>
    <t>ramping total loss / metre / 360deg =</t>
  </si>
  <si>
    <t>Hysteresis detail</t>
  </si>
  <si>
    <t>fields in 5 sections of cable</t>
  </si>
  <si>
    <t>Hyst loss powers in 5 sections of cable</t>
  </si>
  <si>
    <t>B1</t>
  </si>
  <si>
    <t>B2</t>
  </si>
  <si>
    <t>B3</t>
  </si>
  <si>
    <t>B4</t>
  </si>
  <si>
    <t>B5</t>
  </si>
  <si>
    <t>Ph1</t>
  </si>
  <si>
    <t>Ph2</t>
  </si>
  <si>
    <t>Ph3</t>
  </si>
  <si>
    <t>Ph4</t>
  </si>
  <si>
    <t>Ph5</t>
  </si>
  <si>
    <t>Binj</t>
  </si>
  <si>
    <t>ramping total loss power / magnet =</t>
  </si>
  <si>
    <t>magnet loss energy / cycle</t>
  </si>
  <si>
    <t>Joules</t>
  </si>
  <si>
    <t>effective long'l resistivity</t>
  </si>
  <si>
    <t>Iext</t>
  </si>
  <si>
    <t>Bext</t>
  </si>
  <si>
    <t>Iinj</t>
  </si>
  <si>
    <t>load line fitting C =</t>
  </si>
  <si>
    <t>D =</t>
  </si>
  <si>
    <t>n =</t>
  </si>
  <si>
    <t>Amp</t>
  </si>
  <si>
    <t>transp curr correction</t>
  </si>
  <si>
    <t>calc hyst &amp; prox'y loss at 5 points in cable</t>
  </si>
  <si>
    <t>transp cur cor'n in sections</t>
  </si>
  <si>
    <t>Ph corr</t>
  </si>
  <si>
    <t>crossover res * area</t>
  </si>
  <si>
    <t>adjacent res * area</t>
  </si>
  <si>
    <t>max magnet current</t>
  </si>
  <si>
    <t>max aperture field</t>
  </si>
  <si>
    <t>min magnet current</t>
  </si>
  <si>
    <t>min aperture field</t>
  </si>
  <si>
    <t>crossover transverse power</t>
  </si>
  <si>
    <t>adjacent transverse power</t>
  </si>
  <si>
    <t>adjacent parallel power</t>
  </si>
  <si>
    <t>filament coupling power</t>
  </si>
  <si>
    <t>hystere-sis power</t>
  </si>
  <si>
    <t>proximity power</t>
  </si>
  <si>
    <t>mod KA</t>
  </si>
  <si>
    <t>coeff'ts</t>
  </si>
  <si>
    <t>dPht1</t>
  </si>
  <si>
    <t>dPht2</t>
  </si>
  <si>
    <t>dPht3</t>
  </si>
  <si>
    <t>dPht4</t>
  </si>
  <si>
    <t>dPht5</t>
  </si>
  <si>
    <t>with Kim Anderson Jc transport current correction</t>
  </si>
  <si>
    <t>ft = 1.5</t>
  </si>
  <si>
    <t>Watt/m^3</t>
  </si>
  <si>
    <t>Appendix 17-1-1: Rate dependent losses in dipole 001</t>
  </si>
  <si>
    <t>4T  1T/s</t>
  </si>
  <si>
    <t>4T  2T/s</t>
  </si>
  <si>
    <t>Appendix 17-1-2: Rate dependent losses in dipole 001</t>
  </si>
  <si>
    <t>average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</si>
</sst>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E+00"/>
    <numFmt numFmtId="167" formatCode="0.0%"/>
    <numFmt numFmtId="168" formatCode="0.0"/>
    <numFmt numFmtId="169" formatCode="0.E+00"/>
    <numFmt numFmtId="170" formatCode="0.0E+00"/>
    <numFmt numFmtId="171" formatCode="0.000000"/>
    <numFmt numFmtId="172" formatCode="0.000000000"/>
  </numFmts>
  <fonts count="9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1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2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170" fontId="2" fillId="2" borderId="0" xfId="0" applyNumberFormat="1" applyFont="1" applyFill="1" applyAlignment="1">
      <alignment horizontal="center"/>
    </xf>
    <xf numFmtId="11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0" fontId="6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5.emf" /><Relationship Id="rId9" Type="http://schemas.openxmlformats.org/officeDocument/2006/relationships/image" Target="../media/image8.png" /><Relationship Id="rId10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5.emf" /><Relationship Id="rId9" Type="http://schemas.openxmlformats.org/officeDocument/2006/relationships/image" Target="../media/image8.png" /><Relationship Id="rId10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3</xdr:row>
      <xdr:rowOff>180975</xdr:rowOff>
    </xdr:from>
    <xdr:to>
      <xdr:col>14</xdr:col>
      <xdr:colOff>95250</xdr:colOff>
      <xdr:row>6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809625"/>
          <a:ext cx="26479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295275</xdr:colOff>
      <xdr:row>6</xdr:row>
      <xdr:rowOff>152400</xdr:rowOff>
    </xdr:from>
    <xdr:to>
      <xdr:col>14</xdr:col>
      <xdr:colOff>419100</xdr:colOff>
      <xdr:row>8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409700"/>
          <a:ext cx="11811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228600</xdr:colOff>
      <xdr:row>4</xdr:row>
      <xdr:rowOff>0</xdr:rowOff>
    </xdr:from>
    <xdr:to>
      <xdr:col>15</xdr:col>
      <xdr:colOff>400050</xdr:colOff>
      <xdr:row>5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838200"/>
          <a:ext cx="676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95250</xdr:colOff>
      <xdr:row>14</xdr:row>
      <xdr:rowOff>19050</xdr:rowOff>
    </xdr:from>
    <xdr:to>
      <xdr:col>12</xdr:col>
      <xdr:colOff>200025</xdr:colOff>
      <xdr:row>16</xdr:row>
      <xdr:rowOff>38100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2952750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66675</xdr:colOff>
      <xdr:row>11</xdr:row>
      <xdr:rowOff>114300</xdr:rowOff>
    </xdr:from>
    <xdr:to>
      <xdr:col>15</xdr:col>
      <xdr:colOff>381000</xdr:colOff>
      <xdr:row>13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24325" y="2419350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104775</xdr:colOff>
      <xdr:row>1</xdr:row>
      <xdr:rowOff>19050</xdr:rowOff>
    </xdr:from>
    <xdr:to>
      <xdr:col>12</xdr:col>
      <xdr:colOff>390525</xdr:colOff>
      <xdr:row>3</xdr:row>
      <xdr:rowOff>123825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86300" y="228600"/>
          <a:ext cx="18669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1</xdr:row>
      <xdr:rowOff>104775</xdr:rowOff>
    </xdr:from>
    <xdr:to>
      <xdr:col>15</xdr:col>
      <xdr:colOff>47625</xdr:colOff>
      <xdr:row>3</xdr:row>
      <xdr:rowOff>57150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314325"/>
          <a:ext cx="1066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371475</xdr:colOff>
      <xdr:row>14</xdr:row>
      <xdr:rowOff>9525</xdr:rowOff>
    </xdr:from>
    <xdr:to>
      <xdr:col>15</xdr:col>
      <xdr:colOff>438150</xdr:colOff>
      <xdr:row>16</xdr:row>
      <xdr:rowOff>28575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2943225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409575</xdr:colOff>
      <xdr:row>19</xdr:row>
      <xdr:rowOff>190500</xdr:rowOff>
    </xdr:from>
    <xdr:to>
      <xdr:col>10</xdr:col>
      <xdr:colOff>466725</xdr:colOff>
      <xdr:row>23</xdr:row>
      <xdr:rowOff>38100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67225" y="41719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15</xdr:col>
      <xdr:colOff>28575</xdr:colOff>
      <xdr:row>19</xdr:row>
      <xdr:rowOff>104775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1525" y="3562350"/>
          <a:ext cx="3171825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3</xdr:row>
      <xdr:rowOff>180975</xdr:rowOff>
    </xdr:from>
    <xdr:to>
      <xdr:col>14</xdr:col>
      <xdr:colOff>95250</xdr:colOff>
      <xdr:row>6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809625"/>
          <a:ext cx="26479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295275</xdr:colOff>
      <xdr:row>6</xdr:row>
      <xdr:rowOff>152400</xdr:rowOff>
    </xdr:from>
    <xdr:to>
      <xdr:col>14</xdr:col>
      <xdr:colOff>419100</xdr:colOff>
      <xdr:row>8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1409700"/>
          <a:ext cx="11811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228600</xdr:colOff>
      <xdr:row>4</xdr:row>
      <xdr:rowOff>0</xdr:rowOff>
    </xdr:from>
    <xdr:to>
      <xdr:col>15</xdr:col>
      <xdr:colOff>400050</xdr:colOff>
      <xdr:row>5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838200"/>
          <a:ext cx="676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95250</xdr:colOff>
      <xdr:row>14</xdr:row>
      <xdr:rowOff>19050</xdr:rowOff>
    </xdr:from>
    <xdr:to>
      <xdr:col>12</xdr:col>
      <xdr:colOff>200025</xdr:colOff>
      <xdr:row>16</xdr:row>
      <xdr:rowOff>38100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2952750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66675</xdr:colOff>
      <xdr:row>11</xdr:row>
      <xdr:rowOff>114300</xdr:rowOff>
    </xdr:from>
    <xdr:to>
      <xdr:col>15</xdr:col>
      <xdr:colOff>381000</xdr:colOff>
      <xdr:row>13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2419350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104775</xdr:colOff>
      <xdr:row>1</xdr:row>
      <xdr:rowOff>19050</xdr:rowOff>
    </xdr:from>
    <xdr:to>
      <xdr:col>12</xdr:col>
      <xdr:colOff>390525</xdr:colOff>
      <xdr:row>3</xdr:row>
      <xdr:rowOff>123825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228600"/>
          <a:ext cx="18669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1</xdr:row>
      <xdr:rowOff>104775</xdr:rowOff>
    </xdr:from>
    <xdr:to>
      <xdr:col>15</xdr:col>
      <xdr:colOff>47625</xdr:colOff>
      <xdr:row>3</xdr:row>
      <xdr:rowOff>57150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34175" y="314325"/>
          <a:ext cx="1066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371475</xdr:colOff>
      <xdr:row>14</xdr:row>
      <xdr:rowOff>9525</xdr:rowOff>
    </xdr:from>
    <xdr:to>
      <xdr:col>15</xdr:col>
      <xdr:colOff>438150</xdr:colOff>
      <xdr:row>16</xdr:row>
      <xdr:rowOff>28575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62725" y="2943225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409575</xdr:colOff>
      <xdr:row>19</xdr:row>
      <xdr:rowOff>190500</xdr:rowOff>
    </xdr:from>
    <xdr:to>
      <xdr:col>10</xdr:col>
      <xdr:colOff>466725</xdr:colOff>
      <xdr:row>23</xdr:row>
      <xdr:rowOff>38100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95800" y="41719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15</xdr:col>
      <xdr:colOff>28575</xdr:colOff>
      <xdr:row>19</xdr:row>
      <xdr:rowOff>104775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0100" y="3562350"/>
          <a:ext cx="3171825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X373"/>
  <sheetViews>
    <sheetView tabSelected="1" workbookViewId="0" topLeftCell="A93">
      <selection activeCell="P107" sqref="P107"/>
    </sheetView>
  </sheetViews>
  <sheetFormatPr defaultColWidth="9.140625" defaultRowHeight="12.75"/>
  <cols>
    <col min="1" max="1" width="5.7109375" style="2" customWidth="1"/>
    <col min="2" max="2" width="6.7109375" style="2" customWidth="1"/>
    <col min="3" max="3" width="8.00390625" style="11" customWidth="1"/>
    <col min="4" max="4" width="6.7109375" style="5" customWidth="1"/>
    <col min="5" max="5" width="9.28125" style="3" customWidth="1"/>
    <col min="6" max="6" width="7.57421875" style="5" customWidth="1"/>
    <col min="7" max="7" width="8.57421875" style="2" customWidth="1"/>
    <col min="8" max="8" width="8.28125" style="2" customWidth="1"/>
    <col min="9" max="9" width="7.8515625" style="2" customWidth="1"/>
    <col min="10" max="10" width="8.28125" style="2" customWidth="1"/>
    <col min="11" max="11" width="7.57421875" style="2" customWidth="1"/>
    <col min="12" max="12" width="7.8515625" style="2" customWidth="1"/>
    <col min="13" max="13" width="8.00390625" style="2" customWidth="1"/>
    <col min="14" max="14" width="7.8515625" style="2" customWidth="1"/>
    <col min="15" max="16" width="7.57421875" style="2" customWidth="1"/>
    <col min="17" max="17" width="5.421875" style="4" customWidth="1"/>
    <col min="18" max="18" width="1.57421875" style="2" customWidth="1"/>
    <col min="19" max="19" width="10.00390625" style="27" bestFit="1" customWidth="1"/>
    <col min="20" max="28" width="8.00390625" style="27" bestFit="1" customWidth="1"/>
    <col min="29" max="29" width="8.7109375" style="27" bestFit="1" customWidth="1"/>
    <col min="30" max="33" width="7.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157</v>
      </c>
      <c r="C1" s="14"/>
      <c r="D1" s="1"/>
      <c r="E1" s="1"/>
      <c r="F1" s="1"/>
      <c r="G1" s="18"/>
      <c r="H1" s="5" t="s">
        <v>158</v>
      </c>
      <c r="I1" s="20" t="s">
        <v>155</v>
      </c>
      <c r="K1" s="5" t="s">
        <v>154</v>
      </c>
      <c r="L1" s="5"/>
      <c r="M1" s="5"/>
      <c r="Q1" s="2"/>
    </row>
    <row r="2" ht="16.5"/>
    <row r="3" spans="1:9" ht="16.5">
      <c r="A3" s="38" t="s">
        <v>0</v>
      </c>
      <c r="B3" s="39"/>
      <c r="C3" s="39"/>
      <c r="D3" s="5" t="s">
        <v>3</v>
      </c>
      <c r="E3" s="3">
        <f>0.00973/2</f>
        <v>0.004865</v>
      </c>
      <c r="F3" s="5" t="s">
        <v>8</v>
      </c>
      <c r="H3" s="5"/>
      <c r="I3" s="10" t="s">
        <v>141</v>
      </c>
    </row>
    <row r="4" spans="1:6" ht="16.5">
      <c r="A4" s="38" t="s">
        <v>1</v>
      </c>
      <c r="B4" s="39"/>
      <c r="C4" s="39"/>
      <c r="D4" s="5" t="s">
        <v>4</v>
      </c>
      <c r="E4" s="3">
        <f>0.001166/2</f>
        <v>0.000583</v>
      </c>
      <c r="F4" s="5" t="s">
        <v>8</v>
      </c>
    </row>
    <row r="5" spans="1:12" ht="16.5">
      <c r="A5" s="38" t="s">
        <v>2</v>
      </c>
      <c r="B5" s="39"/>
      <c r="C5" s="39"/>
      <c r="D5" s="5" t="s">
        <v>5</v>
      </c>
      <c r="E5" s="3">
        <v>0.074</v>
      </c>
      <c r="F5" s="5" t="s">
        <v>8</v>
      </c>
      <c r="H5" s="5"/>
      <c r="I5" s="10" t="s">
        <v>142</v>
      </c>
      <c r="L5" s="2" t="s">
        <v>22</v>
      </c>
    </row>
    <row r="6" spans="1:6" ht="16.5">
      <c r="A6" s="38" t="s">
        <v>6</v>
      </c>
      <c r="B6" s="39"/>
      <c r="C6" s="39"/>
      <c r="D6" s="5" t="s">
        <v>7</v>
      </c>
      <c r="E6" s="3">
        <v>0.06</v>
      </c>
      <c r="F6" s="2" t="s">
        <v>9</v>
      </c>
    </row>
    <row r="7" spans="1:9" ht="16.5">
      <c r="A7" s="38" t="s">
        <v>12</v>
      </c>
      <c r="B7" s="39"/>
      <c r="C7" s="39"/>
      <c r="D7" s="5" t="s">
        <v>13</v>
      </c>
      <c r="E7" s="3">
        <v>7.4E-05</v>
      </c>
      <c r="F7" s="2" t="s">
        <v>9</v>
      </c>
      <c r="H7" s="47" t="s">
        <v>143</v>
      </c>
      <c r="I7" s="37"/>
    </row>
    <row r="8" spans="1:9" ht="16.5">
      <c r="A8" s="38" t="s">
        <v>10</v>
      </c>
      <c r="B8" s="39"/>
      <c r="C8" s="39"/>
      <c r="D8" s="5" t="s">
        <v>11</v>
      </c>
      <c r="E8" s="3">
        <v>30</v>
      </c>
      <c r="H8" s="48"/>
      <c r="I8" s="37"/>
    </row>
    <row r="9" spans="1:6" ht="16.5">
      <c r="A9" s="38" t="s">
        <v>135</v>
      </c>
      <c r="B9" s="39"/>
      <c r="C9" s="39"/>
      <c r="D9" s="5" t="s">
        <v>14</v>
      </c>
      <c r="E9" s="3">
        <f>E6*2*E5*E3/E8/(E8-1)</f>
        <v>4.965655172413792E-08</v>
      </c>
      <c r="F9" s="5" t="s">
        <v>17</v>
      </c>
    </row>
    <row r="10" spans="1:8" ht="16.5">
      <c r="A10" s="38" t="s">
        <v>136</v>
      </c>
      <c r="B10" s="39"/>
      <c r="C10" s="39"/>
      <c r="D10" s="5" t="s">
        <v>15</v>
      </c>
      <c r="E10" s="3">
        <f>E7*E5*E4/2/E8</f>
        <v>5.320846666666666E-11</v>
      </c>
      <c r="F10" s="5" t="s">
        <v>17</v>
      </c>
      <c r="H10" s="5" t="s">
        <v>144</v>
      </c>
    </row>
    <row r="11" spans="1:12" ht="16.5">
      <c r="A11" s="38" t="s">
        <v>123</v>
      </c>
      <c r="B11" s="39"/>
      <c r="C11" s="39"/>
      <c r="D11" s="7" t="s">
        <v>84</v>
      </c>
      <c r="E11" s="3">
        <f>E7*E4*2*E3/SQRT(E5^2+16*E3^2)</f>
        <v>5.486066948246153E-09</v>
      </c>
      <c r="F11" s="5" t="s">
        <v>16</v>
      </c>
      <c r="H11" s="5"/>
      <c r="L11" s="8"/>
    </row>
    <row r="12" spans="1:8" ht="16.5">
      <c r="A12" s="38" t="s">
        <v>18</v>
      </c>
      <c r="B12" s="39"/>
      <c r="C12" s="39"/>
      <c r="D12" s="7" t="s">
        <v>85</v>
      </c>
      <c r="E12" s="3">
        <f>4*PI()*10^-7</f>
        <v>1.2566370614359173E-06</v>
      </c>
      <c r="F12" s="5" t="s">
        <v>19</v>
      </c>
      <c r="H12" s="47" t="s">
        <v>145</v>
      </c>
    </row>
    <row r="13" spans="1:8" ht="16.5">
      <c r="A13" s="38" t="s">
        <v>23</v>
      </c>
      <c r="B13" s="39"/>
      <c r="C13" s="39"/>
      <c r="D13" s="7" t="s">
        <v>86</v>
      </c>
      <c r="E13" s="4">
        <v>0.826</v>
      </c>
      <c r="H13" s="48"/>
    </row>
    <row r="14" spans="1:8" ht="16.5">
      <c r="A14" s="38" t="s">
        <v>24</v>
      </c>
      <c r="B14" s="39"/>
      <c r="C14" s="39"/>
      <c r="D14" s="7" t="s">
        <v>25</v>
      </c>
      <c r="E14" s="4">
        <v>0.872</v>
      </c>
      <c r="H14" s="5"/>
    </row>
    <row r="15" spans="1:8" ht="16.5">
      <c r="A15" s="5" t="s">
        <v>103</v>
      </c>
      <c r="B15" s="6"/>
      <c r="C15" s="6"/>
      <c r="D15" s="5" t="s">
        <v>104</v>
      </c>
      <c r="E15" s="4">
        <v>2.25</v>
      </c>
      <c r="H15" s="47" t="s">
        <v>146</v>
      </c>
    </row>
    <row r="16" spans="1:14" ht="16.5">
      <c r="A16" s="38" t="s">
        <v>26</v>
      </c>
      <c r="B16" s="39"/>
      <c r="C16" s="39"/>
      <c r="D16" s="7" t="s">
        <v>87</v>
      </c>
      <c r="E16" s="4">
        <f>1/(1+E15)</f>
        <v>0.3076923076923077</v>
      </c>
      <c r="H16" s="47"/>
      <c r="N16" s="45"/>
    </row>
    <row r="17" spans="1:14" ht="16.5">
      <c r="A17" s="5" t="s">
        <v>62</v>
      </c>
      <c r="B17" s="6"/>
      <c r="C17" s="21"/>
      <c r="D17" s="7" t="s">
        <v>88</v>
      </c>
      <c r="E17" s="3">
        <f>0.000000000916*48/205</f>
        <v>2.144780487804878E-10</v>
      </c>
      <c r="F17" s="5" t="s">
        <v>16</v>
      </c>
      <c r="H17" s="34"/>
      <c r="N17" s="45"/>
    </row>
    <row r="18" spans="1:9" ht="16.5">
      <c r="A18" s="38" t="s">
        <v>63</v>
      </c>
      <c r="B18" s="39"/>
      <c r="C18" s="39"/>
      <c r="D18" s="9" t="s">
        <v>64</v>
      </c>
      <c r="E18" s="3">
        <v>0.004</v>
      </c>
      <c r="F18" s="2" t="s">
        <v>8</v>
      </c>
      <c r="H18" s="45" t="s">
        <v>131</v>
      </c>
      <c r="I18" s="46"/>
    </row>
    <row r="19" spans="1:9" ht="16.5">
      <c r="A19" s="38" t="s">
        <v>65</v>
      </c>
      <c r="B19" s="39"/>
      <c r="C19" s="39"/>
      <c r="D19" s="7" t="s">
        <v>20</v>
      </c>
      <c r="E19" s="3">
        <f>E12/2/E17*(E18/2/PI())^2</f>
        <v>0.001187291242133863</v>
      </c>
      <c r="G19" s="2" t="s">
        <v>147</v>
      </c>
      <c r="H19" s="45"/>
      <c r="I19" s="46"/>
    </row>
    <row r="20" spans="1:11" ht="16.5">
      <c r="A20" s="38" t="s">
        <v>41</v>
      </c>
      <c r="B20" s="39"/>
      <c r="C20" s="39"/>
      <c r="D20" s="9" t="s">
        <v>42</v>
      </c>
      <c r="E20" s="3">
        <v>6E-06</v>
      </c>
      <c r="F20" s="5" t="s">
        <v>8</v>
      </c>
      <c r="G20" s="2" t="s">
        <v>148</v>
      </c>
      <c r="K20" s="5"/>
    </row>
    <row r="21" spans="1:11" ht="18.75">
      <c r="A21" s="38" t="s">
        <v>48</v>
      </c>
      <c r="B21" s="39"/>
      <c r="C21" s="39"/>
      <c r="D21" s="9" t="s">
        <v>89</v>
      </c>
      <c r="E21" s="3">
        <v>38500000000</v>
      </c>
      <c r="F21" s="5" t="s">
        <v>49</v>
      </c>
      <c r="G21" s="3">
        <v>23500000000</v>
      </c>
      <c r="J21" s="5"/>
      <c r="K21" s="5"/>
    </row>
    <row r="22" spans="1:12" ht="18.75">
      <c r="A22" s="38" t="s">
        <v>48</v>
      </c>
      <c r="B22" s="39"/>
      <c r="C22" s="39"/>
      <c r="D22" s="9" t="s">
        <v>90</v>
      </c>
      <c r="E22" s="13">
        <v>0.13</v>
      </c>
      <c r="F22" s="5" t="s">
        <v>27</v>
      </c>
      <c r="G22" s="2">
        <v>0.707</v>
      </c>
      <c r="J22" s="5"/>
      <c r="L22" s="5" t="s">
        <v>132</v>
      </c>
    </row>
    <row r="23" spans="1:76" ht="18.75">
      <c r="A23" s="38" t="s">
        <v>48</v>
      </c>
      <c r="B23" s="39"/>
      <c r="C23" s="39"/>
      <c r="D23" s="9" t="s">
        <v>93</v>
      </c>
      <c r="E23" s="3">
        <v>4350000000</v>
      </c>
      <c r="F23" s="5" t="s">
        <v>49</v>
      </c>
      <c r="BX23" s="2"/>
    </row>
    <row r="24" spans="1:76" ht="18.75">
      <c r="A24" s="38" t="s">
        <v>48</v>
      </c>
      <c r="B24" s="39"/>
      <c r="C24" s="39"/>
      <c r="D24" s="9" t="s">
        <v>94</v>
      </c>
      <c r="E24" s="31">
        <v>-585000000</v>
      </c>
      <c r="F24" s="5" t="s">
        <v>67</v>
      </c>
      <c r="H24" s="5" t="s">
        <v>57</v>
      </c>
      <c r="N24" s="10" t="s">
        <v>82</v>
      </c>
      <c r="O24" s="11">
        <f>Q103</f>
        <v>1.4857856127589266</v>
      </c>
      <c r="P24" s="12" t="s">
        <v>59</v>
      </c>
      <c r="Q24" s="2"/>
      <c r="R24"/>
      <c r="BX24" s="2"/>
    </row>
    <row r="25" spans="1:76" ht="16.5">
      <c r="A25" s="5" t="s">
        <v>137</v>
      </c>
      <c r="B25" s="6"/>
      <c r="C25" s="6"/>
      <c r="D25" s="5" t="s">
        <v>124</v>
      </c>
      <c r="E25" s="19">
        <v>6780</v>
      </c>
      <c r="F25" s="5" t="s">
        <v>130</v>
      </c>
      <c r="H25" s="2" t="s">
        <v>58</v>
      </c>
      <c r="I25" s="2" t="s">
        <v>91</v>
      </c>
      <c r="J25" s="2" t="s">
        <v>92</v>
      </c>
      <c r="N25" s="10" t="s">
        <v>105</v>
      </c>
      <c r="O25" s="11">
        <f>O24*4</f>
        <v>5.9431424510357065</v>
      </c>
      <c r="P25" s="12" t="s">
        <v>59</v>
      </c>
      <c r="Q25" s="2"/>
      <c r="R25"/>
      <c r="BX25" s="2"/>
    </row>
    <row r="26" spans="1:76" ht="16.5">
      <c r="A26" s="38" t="s">
        <v>138</v>
      </c>
      <c r="B26" s="39"/>
      <c r="C26" s="39"/>
      <c r="D26" s="5" t="s">
        <v>125</v>
      </c>
      <c r="E26" s="4">
        <f>J$34*E25/1000+J$35*(E25/1000)^J$36</f>
        <v>3.999791889840895</v>
      </c>
      <c r="F26" s="5" t="s">
        <v>27</v>
      </c>
      <c r="H26" s="2">
        <v>1</v>
      </c>
      <c r="I26" s="15">
        <v>0</v>
      </c>
      <c r="J26" s="15">
        <v>15.673373548625944</v>
      </c>
      <c r="N26" s="10" t="s">
        <v>120</v>
      </c>
      <c r="O26" s="14">
        <f>O25*J30</f>
        <v>6.934532901149099</v>
      </c>
      <c r="P26" s="12" t="s">
        <v>59</v>
      </c>
      <c r="Q26" s="2"/>
      <c r="R26"/>
      <c r="BX26" s="2"/>
    </row>
    <row r="27" spans="1:76" ht="16.5">
      <c r="A27" s="38" t="s">
        <v>28</v>
      </c>
      <c r="B27" s="39"/>
      <c r="C27" s="39"/>
      <c r="D27" s="5" t="s">
        <v>68</v>
      </c>
      <c r="E27" s="13">
        <v>2.1215</v>
      </c>
      <c r="F27" s="5" t="s">
        <v>27</v>
      </c>
      <c r="H27" s="2">
        <v>2</v>
      </c>
      <c r="I27" s="15">
        <v>17.081863443783423</v>
      </c>
      <c r="J27" s="15">
        <v>36.23820889210402</v>
      </c>
      <c r="N27" s="10"/>
      <c r="O27" s="14"/>
      <c r="P27" s="12"/>
      <c r="Q27" s="2"/>
      <c r="R27"/>
      <c r="BW27" s="2"/>
      <c r="BX27" s="2"/>
    </row>
    <row r="28" spans="1:76" ht="16.5">
      <c r="A28" s="5" t="s">
        <v>139</v>
      </c>
      <c r="B28" s="6"/>
      <c r="C28" s="6"/>
      <c r="D28" s="5" t="s">
        <v>126</v>
      </c>
      <c r="E28" s="19">
        <v>1</v>
      </c>
      <c r="F28" s="5" t="s">
        <v>130</v>
      </c>
      <c r="H28" s="2">
        <v>3</v>
      </c>
      <c r="I28" s="15">
        <v>41.284249216564326</v>
      </c>
      <c r="J28" s="15">
        <v>55.21613681534294</v>
      </c>
      <c r="N28" s="10" t="s">
        <v>121</v>
      </c>
      <c r="O28" s="33">
        <f>O26*E31*2</f>
        <v>55.47337691570204</v>
      </c>
      <c r="P28" s="12" t="s">
        <v>122</v>
      </c>
      <c r="Q28" s="2"/>
      <c r="R28"/>
      <c r="BW28" s="2"/>
      <c r="BX28" s="2"/>
    </row>
    <row r="29" spans="1:76" ht="16.5">
      <c r="A29" s="38" t="s">
        <v>140</v>
      </c>
      <c r="B29" s="39"/>
      <c r="C29" s="39"/>
      <c r="D29" s="5" t="s">
        <v>119</v>
      </c>
      <c r="E29" s="15">
        <v>0</v>
      </c>
      <c r="F29" s="5" t="s">
        <v>27</v>
      </c>
      <c r="H29" s="2">
        <v>4</v>
      </c>
      <c r="I29" s="15">
        <v>66.20526072708387</v>
      </c>
      <c r="J29" s="15">
        <v>73.17120452647318</v>
      </c>
      <c r="K29" s="15"/>
      <c r="N29" s="10"/>
      <c r="O29" s="14"/>
      <c r="P29" s="12"/>
      <c r="Q29" s="12"/>
      <c r="R29"/>
      <c r="BW29" s="2"/>
      <c r="BX29" s="2"/>
    </row>
    <row r="30" spans="1:76" ht="16.5">
      <c r="A30" s="38" t="s">
        <v>95</v>
      </c>
      <c r="B30" s="39"/>
      <c r="C30" s="39"/>
      <c r="D30" s="5" t="s">
        <v>29</v>
      </c>
      <c r="E30" s="15">
        <f>E29/E26</f>
        <v>0</v>
      </c>
      <c r="I30" s="10" t="s">
        <v>74</v>
      </c>
      <c r="J30" s="15">
        <f>245*2.54*12/100/32/2</f>
        <v>1.1668124999999998</v>
      </c>
      <c r="K30" s="5" t="s">
        <v>69</v>
      </c>
      <c r="N30" s="10"/>
      <c r="O30" s="14"/>
      <c r="P30" s="12"/>
      <c r="Q30" s="12"/>
      <c r="R30"/>
      <c r="BX30" s="2"/>
    </row>
    <row r="31" spans="1:76" ht="16.5">
      <c r="A31" s="38" t="s">
        <v>30</v>
      </c>
      <c r="B31" s="39"/>
      <c r="C31" s="39"/>
      <c r="D31" s="5" t="s">
        <v>81</v>
      </c>
      <c r="E31" s="11">
        <f>(E26-E29)/E32</f>
        <v>3.999791889840895</v>
      </c>
      <c r="F31" s="5" t="s">
        <v>21</v>
      </c>
      <c r="H31" s="5"/>
      <c r="I31" s="10" t="s">
        <v>79</v>
      </c>
      <c r="J31" s="3">
        <v>7.888866402398716E-06</v>
      </c>
      <c r="K31" s="5" t="s">
        <v>43</v>
      </c>
      <c r="N31" s="10"/>
      <c r="O31" s="16"/>
      <c r="P31" s="16"/>
      <c r="Q31" s="12"/>
      <c r="R31" s="4"/>
      <c r="BX31" s="2"/>
    </row>
    <row r="32" spans="1:76" ht="16.5">
      <c r="A32" s="38" t="s">
        <v>76</v>
      </c>
      <c r="B32" s="39"/>
      <c r="C32" s="39"/>
      <c r="D32" s="5" t="s">
        <v>78</v>
      </c>
      <c r="E32" s="15">
        <v>1</v>
      </c>
      <c r="F32" s="5" t="s">
        <v>77</v>
      </c>
      <c r="H32" s="10"/>
      <c r="I32" s="10" t="s">
        <v>80</v>
      </c>
      <c r="K32" s="5" t="s">
        <v>21</v>
      </c>
      <c r="L32" s="5"/>
      <c r="N32" s="10" t="s">
        <v>70</v>
      </c>
      <c r="O32" s="17">
        <f>K104</f>
        <v>0.003877047988593607</v>
      </c>
      <c r="P32" s="17"/>
      <c r="R32"/>
      <c r="BX32" s="2"/>
    </row>
    <row r="33" spans="1:18" ht="16.5">
      <c r="A33" s="5" t="s">
        <v>97</v>
      </c>
      <c r="B33" s="6"/>
      <c r="C33" s="21"/>
      <c r="D33" s="5" t="s">
        <v>98</v>
      </c>
      <c r="E33" s="15">
        <v>2</v>
      </c>
      <c r="H33" s="10"/>
      <c r="I33" s="10" t="s">
        <v>96</v>
      </c>
      <c r="J33" s="15"/>
      <c r="K33" s="5"/>
      <c r="N33" s="10" t="s">
        <v>71</v>
      </c>
      <c r="O33" s="17">
        <f>L104</f>
        <v>0.08633270473666196</v>
      </c>
      <c r="P33" s="17"/>
      <c r="R33"/>
    </row>
    <row r="34" spans="1:18" ht="16.5">
      <c r="A34" s="5" t="s">
        <v>101</v>
      </c>
      <c r="B34" s="6"/>
      <c r="C34" s="21"/>
      <c r="D34" s="5" t="s">
        <v>99</v>
      </c>
      <c r="E34" s="15">
        <v>1</v>
      </c>
      <c r="I34" s="10" t="s">
        <v>127</v>
      </c>
      <c r="J34" s="24">
        <v>0.6499066833965692</v>
      </c>
      <c r="K34" s="5"/>
      <c r="N34" s="10" t="s">
        <v>72</v>
      </c>
      <c r="O34" s="17">
        <f>M104</f>
        <v>0.0012487503506344879</v>
      </c>
      <c r="P34" s="17"/>
      <c r="Q34" s="2"/>
      <c r="R34"/>
    </row>
    <row r="35" spans="1:18" ht="16.5">
      <c r="A35" s="5" t="s">
        <v>102</v>
      </c>
      <c r="B35" s="6"/>
      <c r="C35" s="21"/>
      <c r="D35" s="5" t="s">
        <v>100</v>
      </c>
      <c r="E35" s="15">
        <v>1</v>
      </c>
      <c r="G35" s="5"/>
      <c r="I35" s="10" t="s">
        <v>128</v>
      </c>
      <c r="J35" s="24">
        <v>-0.002876751101105405</v>
      </c>
      <c r="K35" s="5"/>
      <c r="N35" s="10" t="s">
        <v>73</v>
      </c>
      <c r="O35" s="17">
        <f>N104</f>
        <v>0.3513125135729021</v>
      </c>
      <c r="P35" s="17"/>
      <c r="Q35" s="3"/>
      <c r="R35"/>
    </row>
    <row r="36" spans="1:18" ht="16.5">
      <c r="A36" s="5"/>
      <c r="B36" s="6"/>
      <c r="C36" s="21"/>
      <c r="E36" s="15"/>
      <c r="I36" s="10" t="s">
        <v>129</v>
      </c>
      <c r="J36" s="24">
        <v>2.5868166777577715</v>
      </c>
      <c r="K36" s="5"/>
      <c r="N36" s="10" t="s">
        <v>75</v>
      </c>
      <c r="O36" s="26">
        <f>O104</f>
        <v>0.5572289833512077</v>
      </c>
      <c r="P36" s="17"/>
      <c r="Q36" s="3"/>
      <c r="R36"/>
    </row>
    <row r="37" spans="16:27" ht="16.5">
      <c r="P37" s="2" t="s">
        <v>52</v>
      </c>
      <c r="Q37" s="4" t="s">
        <v>56</v>
      </c>
      <c r="R37"/>
      <c r="S37" s="40" t="s">
        <v>106</v>
      </c>
      <c r="T37" s="41"/>
      <c r="U37" s="41"/>
      <c r="V37" s="41"/>
      <c r="W37" s="41"/>
      <c r="X37" s="41"/>
      <c r="Y37" s="41"/>
      <c r="Z37" s="41"/>
      <c r="AA37" s="41"/>
    </row>
    <row r="38" spans="1:76" ht="16.5">
      <c r="A38" s="42" t="s">
        <v>66</v>
      </c>
      <c r="B38" s="42"/>
      <c r="C38" s="38"/>
      <c r="D38" s="38"/>
      <c r="E38" s="43"/>
      <c r="F38" s="18" t="s">
        <v>44</v>
      </c>
      <c r="G38" s="3"/>
      <c r="H38" s="3"/>
      <c r="I38" s="3"/>
      <c r="J38" s="2" t="s">
        <v>50</v>
      </c>
      <c r="P38" s="2" t="s">
        <v>53</v>
      </c>
      <c r="Q38" s="4" t="s">
        <v>54</v>
      </c>
      <c r="R38"/>
      <c r="S38" s="40" t="s">
        <v>107</v>
      </c>
      <c r="T38" s="40"/>
      <c r="U38" s="40"/>
      <c r="V38" s="40"/>
      <c r="W38" s="41"/>
      <c r="X38" s="40" t="s">
        <v>108</v>
      </c>
      <c r="Y38" s="40"/>
      <c r="Z38" s="40"/>
      <c r="AA38" s="40"/>
      <c r="AB38" s="44"/>
      <c r="AC38" s="36" t="s">
        <v>133</v>
      </c>
      <c r="AD38" s="36"/>
      <c r="AE38" s="36"/>
      <c r="AF38" s="36"/>
      <c r="AG38" s="37"/>
      <c r="BX38" s="2"/>
    </row>
    <row r="39" spans="1:76" ht="16.5">
      <c r="A39" s="2" t="s">
        <v>31</v>
      </c>
      <c r="B39" s="2" t="s">
        <v>32</v>
      </c>
      <c r="C39" s="11" t="s">
        <v>33</v>
      </c>
      <c r="D39" s="5" t="s">
        <v>34</v>
      </c>
      <c r="E39" s="3" t="s">
        <v>36</v>
      </c>
      <c r="F39" s="5" t="s">
        <v>35</v>
      </c>
      <c r="G39" s="5" t="s">
        <v>45</v>
      </c>
      <c r="H39" s="5" t="s">
        <v>46</v>
      </c>
      <c r="I39" s="3" t="s">
        <v>47</v>
      </c>
      <c r="J39" s="3" t="s">
        <v>36</v>
      </c>
      <c r="K39" s="2" t="s">
        <v>37</v>
      </c>
      <c r="L39" s="2" t="s">
        <v>38</v>
      </c>
      <c r="M39" s="2" t="s">
        <v>39</v>
      </c>
      <c r="N39" s="2" t="s">
        <v>40</v>
      </c>
      <c r="O39" s="2" t="s">
        <v>134</v>
      </c>
      <c r="P39" s="2" t="s">
        <v>51</v>
      </c>
      <c r="Q39" s="4" t="s">
        <v>55</v>
      </c>
      <c r="R39"/>
      <c r="S39" s="28" t="s">
        <v>109</v>
      </c>
      <c r="T39" s="28" t="s">
        <v>110</v>
      </c>
      <c r="U39" s="28" t="s">
        <v>111</v>
      </c>
      <c r="V39" s="28" t="s">
        <v>112</v>
      </c>
      <c r="W39" s="28" t="s">
        <v>113</v>
      </c>
      <c r="X39" s="28" t="s">
        <v>114</v>
      </c>
      <c r="Y39" s="28" t="s">
        <v>115</v>
      </c>
      <c r="Z39" s="28" t="s">
        <v>116</v>
      </c>
      <c r="AA39" s="28" t="s">
        <v>117</v>
      </c>
      <c r="AB39" s="28" t="s">
        <v>118</v>
      </c>
      <c r="AC39" s="28" t="s">
        <v>149</v>
      </c>
      <c r="AD39" s="22" t="s">
        <v>150</v>
      </c>
      <c r="AE39" s="22" t="s">
        <v>151</v>
      </c>
      <c r="AF39" s="22" t="s">
        <v>152</v>
      </c>
      <c r="AG39" s="22" t="s">
        <v>153</v>
      </c>
      <c r="BX39" s="2"/>
    </row>
    <row r="40" spans="1:76" ht="16.5">
      <c r="A40" s="19">
        <v>0</v>
      </c>
      <c r="B40" s="15">
        <v>-0.8219977069090909</v>
      </c>
      <c r="C40" s="11">
        <v>244.26680129999903</v>
      </c>
      <c r="D40" s="4">
        <v>-7.829455454545454E-06</v>
      </c>
      <c r="E40" s="31">
        <f aca="true" t="shared" si="0" ref="E40:E55">SQRT(B40^2+D40^2)</f>
        <v>0.8219977069463784</v>
      </c>
      <c r="F40" s="31">
        <f aca="true" t="shared" si="1" ref="F40:F55">-B40*$E$26*(1-$E$30)/$E$27/$E$31</f>
        <v>0.3874606207443276</v>
      </c>
      <c r="G40" s="31">
        <f aca="true" t="shared" si="2" ref="G40:G55">C40*$E$26*(1-$E$30)/$E$27/$E$31</f>
        <v>115.1387232147061</v>
      </c>
      <c r="H40" s="31">
        <f aca="true" t="shared" si="3" ref="H40:H55">-D40*$E$26*(1-$E$30)/$E$27/$E$31</f>
        <v>3.6905281426092173E-06</v>
      </c>
      <c r="I40" s="31">
        <f aca="true" t="shared" si="4" ref="I40:I55">E40*$E$26*(1-$E$30)/$E$27/$E$31</f>
        <v>0.3874606207619035</v>
      </c>
      <c r="J40" s="31">
        <f aca="true" t="shared" si="5" ref="J40:J55">E40*E$26/E$27</f>
        <v>1.5497618485561804</v>
      </c>
      <c r="K40" s="31">
        <f aca="true" t="shared" si="6" ref="K40:K55">E$33*E$13/120*E$5*F40^2/E$6*E$3*E$8*(E$8-1)/E$4</f>
        <v>18.505377485534154</v>
      </c>
      <c r="L40" s="31">
        <f aca="true" t="shared" si="7" ref="L40:L55">E$33*E$13/6*F40^2*E$3/E$7/E$4*SQRT(E$5^2+16*E$3^2)*(1+(G40*E$3/F40)^2/15)</f>
        <v>406.34992494244824</v>
      </c>
      <c r="M40" s="31">
        <f aca="true" t="shared" si="8" ref="M40:M55">E$34*E$13*H40^2/8*E$4/E$7/E$3*SQRT(E$5^2+16*E$3^2)</f>
        <v>1.7425012778844113E-10</v>
      </c>
      <c r="N40" s="31">
        <f aca="true" t="shared" si="9" ref="N40:N55">E$33*2*E$13*E$14*I40^2/E$12*E$19</f>
        <v>408.6571140941463</v>
      </c>
      <c r="O40" s="31">
        <f aca="true" t="shared" si="10" ref="O40:O55">(X40+AC40+Y40+AD40+Z40+AE40+AA40+AF40+AB40+AG40)/5</f>
        <v>1290.396659325753</v>
      </c>
      <c r="P40" s="31">
        <f aca="true" t="shared" si="11" ref="P40:P55">SUM(K40:O40)</f>
        <v>2123.909075848056</v>
      </c>
      <c r="Q40" s="4">
        <f aca="true" t="shared" si="12" ref="Q40:Q54">P40*J$31</f>
        <v>0.016755234950207434</v>
      </c>
      <c r="R40" s="25"/>
      <c r="S40" s="28">
        <f aca="true" t="shared" si="13" ref="S40:S55">SQRT(($B40-$C40*0.8*$E$3)^2+$D40^2)*$E$26/$E$27</f>
        <v>3.342148233219099</v>
      </c>
      <c r="T40" s="28">
        <f aca="true" t="shared" si="14" ref="T40:T55">SQRT(($B40-$C40*0.4*$E$3)^2+$D40^2)*$E$26/$E$27</f>
        <v>2.4459550408807327</v>
      </c>
      <c r="U40" s="28">
        <f aca="true" t="shared" si="15" ref="U40:U55">SQRT(($B40)^2+$D40^2)*$E$26/$E$27</f>
        <v>1.5497618485561804</v>
      </c>
      <c r="V40" s="28">
        <f aca="true" t="shared" si="16" ref="V40:V55">SQRT(($B40+$C40*0.4*$E$3)^2+$D40^2)*$E$26/$E$27</f>
        <v>0.653568656302268</v>
      </c>
      <c r="W40" s="28">
        <f aca="true" t="shared" si="17" ref="W40:W55">SQRT(($B40+$C40*0.8*$E$3)^2+$D40^2)*$E$26/$E$27</f>
        <v>0.24262453666378242</v>
      </c>
      <c r="X40" s="28">
        <f aca="true" t="shared" si="18" ref="X40:X55">$E$35*$E$13*$E$14*$E$16/$E$31*2/3*$E$20/PI()*($E$21*$E$22*LN((S40+$E$22)/($E$30*S40+$E$22))+$E$23*S40*(1-$E$30)+$E$24*S40^2/2*(1-$E$30^2))</f>
        <v>1955.0688868094355</v>
      </c>
      <c r="Y40" s="28">
        <f aca="true" t="shared" si="19" ref="Y40:Y55">$E$35*$E$13*$E$14*$E$16/$E$31*2/3*$E$20/PI()*($E$21*$E$22*LN((T40+$E$22)/($E$30*T40+$E$22))+$E$23*T40*(1-$E$30)+$E$24*T40^2/2*(1-$E$30^2))</f>
        <v>1681.6646106293238</v>
      </c>
      <c r="Z40" s="28">
        <f aca="true" t="shared" si="20" ref="Z40:Z55">$E$35*$E$13*$E$14*$E$16/$E$31*2/3*$E$20/PI()*($E$21*$E$22*LN((U40+$E$22)/($E$30*U40+$E$22))+$E$23*U40*(1-$E$30)+$E$24*U40^2/2*(1-$E$30^2))</f>
        <v>1329.5588194923882</v>
      </c>
      <c r="AA40" s="28">
        <f aca="true" t="shared" si="21" ref="AA40:AA55">$E$35*$E$13*$E$14*$E$16/$E$31*2/3*$E$20/PI()*($E$21*$E$22*LN((V40+$E$22)/($E$30*V40+$E$22))+$E$23*V40*(1-$E$30)+$E$24*V40^2/2*(1-$E$30^2))</f>
        <v>826.0265337430297</v>
      </c>
      <c r="AB40" s="28">
        <f aca="true" t="shared" si="22" ref="AB40:AB55">$E$35*$E$13*$E$14*$E$16/$E$31*2/3*$E$20/PI()*($E$21*$E$22*LN((W40+$E$22)/($E$30*W40+$E$22))+$E$23*W40*(1-$E$30)+$E$24*W40^2/2*(1-$E$30^2))</f>
        <v>445.06369628020275</v>
      </c>
      <c r="AC40" s="28">
        <f aca="true" t="shared" si="23" ref="AC40:AC55">1/18/PI()*$E$20/$E$31*S40*$E$25^2*(3*S40+4*$G$22)/($G$21*$G$22*16*$E$13*$E$14*$E$16*$E$3^2*$E$4^2)</f>
        <v>110.53674317350581</v>
      </c>
      <c r="AD40" s="28">
        <f aca="true" t="shared" si="24" ref="AD40:AD55">1/18/PI()*$E$20/$E$31*T40*$E$25^2*(3*T40+4*$G$22)/($G$21*$G$22*16*$E$13*$E$14*$E$16*$E$3^2*$E$4^2)</f>
        <v>63.97649591439437</v>
      </c>
      <c r="AE40" s="28">
        <f aca="true" t="shared" si="25" ref="AE40:AE55">1/18/PI()*$E$20/$E$31*U40*$E$25^2*(3*U40+4*$G$22)/($G$21*$G$22*16*$E$13*$E$14*$E$16*$E$3^2*$E$4^2)</f>
        <v>29.815120402756587</v>
      </c>
      <c r="AF40" s="28">
        <f aca="true" t="shared" si="26" ref="AF40:AF55">1/18/PI()*$E$20/$E$31*V40*$E$25^2*(3*V40+4*$G$22)/($G$21*$G$22*16*$E$13*$E$14*$E$16*$E$3^2*$E$4^2)</f>
        <v>8.052616639005892</v>
      </c>
      <c r="AG40" s="28">
        <f aca="true" t="shared" si="27" ref="AG40:AG55">1/18/PI()*$E$20/$E$31*W40*$E$25^2*(3*W40+4*$G$22)/($G$21*$G$22*16*$E$13*$E$14*$E$16*$E$3^2*$E$4^2)</f>
        <v>2.2197735447222553</v>
      </c>
      <c r="AH40" s="25"/>
      <c r="BX40" s="2"/>
    </row>
    <row r="41" spans="1:76" ht="16.5">
      <c r="A41" s="19">
        <v>1</v>
      </c>
      <c r="B41" s="15">
        <v>-0.8217296287421121</v>
      </c>
      <c r="C41" s="11">
        <v>246.64712192512508</v>
      </c>
      <c r="D41" s="4">
        <v>-0.004352904612639874</v>
      </c>
      <c r="E41" s="31">
        <f t="shared" si="0"/>
        <v>0.8217411578661593</v>
      </c>
      <c r="F41" s="31">
        <f t="shared" si="1"/>
        <v>0.3873342581862418</v>
      </c>
      <c r="G41" s="31">
        <f t="shared" si="2"/>
        <v>116.2607220952746</v>
      </c>
      <c r="H41" s="31">
        <f t="shared" si="3"/>
        <v>0.0020518051438321344</v>
      </c>
      <c r="I41" s="31">
        <f t="shared" si="4"/>
        <v>0.38733969260719264</v>
      </c>
      <c r="J41" s="31">
        <f t="shared" si="5"/>
        <v>1.5492781611037143</v>
      </c>
      <c r="K41" s="31">
        <f t="shared" si="6"/>
        <v>18.493309133794067</v>
      </c>
      <c r="L41" s="31">
        <f t="shared" si="7"/>
        <v>407.09057674076985</v>
      </c>
      <c r="M41" s="31">
        <f t="shared" si="8"/>
        <v>5.3860240816601445E-05</v>
      </c>
      <c r="N41" s="31">
        <f t="shared" si="9"/>
        <v>408.402066555074</v>
      </c>
      <c r="O41" s="31">
        <f t="shared" si="10"/>
        <v>1295.1900553274306</v>
      </c>
      <c r="P41" s="31">
        <f t="shared" si="11"/>
        <v>2129.1760616173096</v>
      </c>
      <c r="Q41" s="4">
        <f t="shared" si="12"/>
        <v>0.016796785497284413</v>
      </c>
      <c r="R41" s="25"/>
      <c r="S41" s="28">
        <f t="shared" si="13"/>
        <v>3.359119204226426</v>
      </c>
      <c r="T41" s="28">
        <f t="shared" si="14"/>
        <v>2.4541965235287626</v>
      </c>
      <c r="U41" s="28">
        <f t="shared" si="15"/>
        <v>1.5492781611037143</v>
      </c>
      <c r="V41" s="28">
        <f t="shared" si="16"/>
        <v>0.6443823099057824</v>
      </c>
      <c r="W41" s="28">
        <f t="shared" si="17"/>
        <v>0.26072552356928513</v>
      </c>
      <c r="X41" s="28">
        <f t="shared" si="18"/>
        <v>1959.6518483220495</v>
      </c>
      <c r="Y41" s="28">
        <f t="shared" si="19"/>
        <v>1684.4883274949868</v>
      </c>
      <c r="Z41" s="28">
        <f t="shared" si="20"/>
        <v>1329.3396269616148</v>
      </c>
      <c r="AA41" s="28">
        <f t="shared" si="21"/>
        <v>819.2893973862962</v>
      </c>
      <c r="AB41" s="28">
        <f t="shared" si="22"/>
        <v>467.179253359069</v>
      </c>
      <c r="AC41" s="28">
        <f t="shared" si="23"/>
        <v>111.53806231159174</v>
      </c>
      <c r="AD41" s="28">
        <f t="shared" si="24"/>
        <v>64.34818226696146</v>
      </c>
      <c r="AE41" s="28">
        <f t="shared" si="25"/>
        <v>29.800030775780268</v>
      </c>
      <c r="AF41" s="28">
        <f t="shared" si="26"/>
        <v>7.893740214359311</v>
      </c>
      <c r="AG41" s="28">
        <f t="shared" si="27"/>
        <v>2.421807544444504</v>
      </c>
      <c r="AH41" s="25"/>
      <c r="BX41" s="2"/>
    </row>
    <row r="42" spans="1:76" ht="16.5">
      <c r="A42" s="19">
        <v>2</v>
      </c>
      <c r="B42" s="15">
        <v>-0.821585611225844</v>
      </c>
      <c r="C42" s="11">
        <v>247.8761242952973</v>
      </c>
      <c r="D42" s="4">
        <v>-0.04666387906774721</v>
      </c>
      <c r="E42" s="31">
        <f t="shared" si="0"/>
        <v>0.8229097363520455</v>
      </c>
      <c r="F42" s="31">
        <f t="shared" si="1"/>
        <v>0.3872663734272184</v>
      </c>
      <c r="G42" s="31">
        <f t="shared" si="2"/>
        <v>116.84003030652713</v>
      </c>
      <c r="H42" s="31">
        <f t="shared" si="3"/>
        <v>0.021995700715412306</v>
      </c>
      <c r="I42" s="31">
        <f t="shared" si="4"/>
        <v>0.38789051913836686</v>
      </c>
      <c r="J42" s="31">
        <f t="shared" si="5"/>
        <v>1.5514813525958142</v>
      </c>
      <c r="K42" s="31">
        <f t="shared" si="6"/>
        <v>18.486827373945843</v>
      </c>
      <c r="L42" s="31">
        <f t="shared" si="7"/>
        <v>407.4718522869681</v>
      </c>
      <c r="M42" s="31">
        <f t="shared" si="8"/>
        <v>0.006189729441105291</v>
      </c>
      <c r="N42" s="31">
        <f t="shared" si="9"/>
        <v>409.56445012761156</v>
      </c>
      <c r="O42" s="31">
        <f t="shared" si="10"/>
        <v>1302.164795799757</v>
      </c>
      <c r="P42" s="31">
        <f t="shared" si="11"/>
        <v>2137.6941153177236</v>
      </c>
      <c r="Q42" s="4">
        <f t="shared" si="12"/>
        <v>0.016863983284935435</v>
      </c>
      <c r="R42" s="25"/>
      <c r="S42" s="28">
        <f t="shared" si="13"/>
        <v>3.369004783196113</v>
      </c>
      <c r="T42" s="28">
        <f t="shared" si="14"/>
        <v>2.4599940894498853</v>
      </c>
      <c r="U42" s="28">
        <f t="shared" si="15"/>
        <v>1.5514813525958142</v>
      </c>
      <c r="V42" s="28">
        <f t="shared" si="16"/>
        <v>0.645572328380628</v>
      </c>
      <c r="W42" s="28">
        <f t="shared" si="17"/>
        <v>0.28386379001752815</v>
      </c>
      <c r="X42" s="28">
        <f t="shared" si="18"/>
        <v>1962.3120863045874</v>
      </c>
      <c r="Y42" s="28">
        <f t="shared" si="19"/>
        <v>1686.470870980834</v>
      </c>
      <c r="Z42" s="28">
        <f t="shared" si="20"/>
        <v>1330.3377316418323</v>
      </c>
      <c r="AA42" s="28">
        <f t="shared" si="21"/>
        <v>820.1651131608483</v>
      </c>
      <c r="AB42" s="28">
        <f t="shared" si="22"/>
        <v>494.33404858542923</v>
      </c>
      <c r="AC42" s="28">
        <f t="shared" si="23"/>
        <v>112.12337930224936</v>
      </c>
      <c r="AD42" s="28">
        <f t="shared" si="24"/>
        <v>64.61027756363536</v>
      </c>
      <c r="AE42" s="28">
        <f t="shared" si="25"/>
        <v>29.868793117046287</v>
      </c>
      <c r="AF42" s="28">
        <f t="shared" si="26"/>
        <v>7.914247947587838</v>
      </c>
      <c r="AG42" s="28">
        <f t="shared" si="27"/>
        <v>2.6874303947330827</v>
      </c>
      <c r="AH42" s="25"/>
      <c r="BX42" s="2"/>
    </row>
    <row r="43" spans="1:76" ht="16.5">
      <c r="A43" s="19">
        <v>3</v>
      </c>
      <c r="B43" s="15">
        <v>-0.8208176406045933</v>
      </c>
      <c r="C43" s="11">
        <v>248.61971105177216</v>
      </c>
      <c r="D43" s="4">
        <v>-0.08816510333209439</v>
      </c>
      <c r="E43" s="31">
        <f t="shared" si="0"/>
        <v>0.8255390266809015</v>
      </c>
      <c r="F43" s="31">
        <f t="shared" si="1"/>
        <v>0.3869043792621227</v>
      </c>
      <c r="G43" s="31">
        <f t="shared" si="2"/>
        <v>117.19053078094373</v>
      </c>
      <c r="H43" s="31">
        <f t="shared" si="3"/>
        <v>0.041557908711805036</v>
      </c>
      <c r="I43" s="31">
        <f t="shared" si="4"/>
        <v>0.3891298735238753</v>
      </c>
      <c r="J43" s="31">
        <f t="shared" si="5"/>
        <v>1.5564385122156095</v>
      </c>
      <c r="K43" s="31">
        <f t="shared" si="6"/>
        <v>18.452282696717052</v>
      </c>
      <c r="L43" s="31">
        <f t="shared" si="7"/>
        <v>407.11355939366695</v>
      </c>
      <c r="M43" s="31">
        <f t="shared" si="8"/>
        <v>0.02209547955772947</v>
      </c>
      <c r="N43" s="31">
        <f t="shared" si="9"/>
        <v>412.18584139675374</v>
      </c>
      <c r="O43" s="31">
        <f t="shared" si="10"/>
        <v>1313.9372855868914</v>
      </c>
      <c r="P43" s="31">
        <f t="shared" si="11"/>
        <v>2151.7110645535868</v>
      </c>
      <c r="Q43" s="4">
        <f t="shared" si="12"/>
        <v>0.016974561124826367</v>
      </c>
      <c r="R43" s="25"/>
      <c r="S43" s="28">
        <f t="shared" si="13"/>
        <v>3.375958927163271</v>
      </c>
      <c r="T43" s="28">
        <f t="shared" si="14"/>
        <v>2.46531078557438</v>
      </c>
      <c r="U43" s="28">
        <f t="shared" si="15"/>
        <v>1.5564385122156095</v>
      </c>
      <c r="V43" s="28">
        <f t="shared" si="16"/>
        <v>0.6567567254388018</v>
      </c>
      <c r="W43" s="28">
        <f t="shared" si="17"/>
        <v>0.3228667399606857</v>
      </c>
      <c r="X43" s="28">
        <f t="shared" si="18"/>
        <v>1964.179360465853</v>
      </c>
      <c r="Y43" s="28">
        <f t="shared" si="19"/>
        <v>1688.2862008227362</v>
      </c>
      <c r="Z43" s="28">
        <f t="shared" si="20"/>
        <v>1332.5805111380557</v>
      </c>
      <c r="AA43" s="28">
        <f t="shared" si="21"/>
        <v>828.352402132897</v>
      </c>
      <c r="AB43" s="28">
        <f t="shared" si="22"/>
        <v>537.6151064078499</v>
      </c>
      <c r="AC43" s="28">
        <f t="shared" si="23"/>
        <v>112.53603235508166</v>
      </c>
      <c r="AD43" s="28">
        <f t="shared" si="24"/>
        <v>64.85108989860926</v>
      </c>
      <c r="AE43" s="28">
        <f t="shared" si="25"/>
        <v>30.0237817003337</v>
      </c>
      <c r="AF43" s="28">
        <f t="shared" si="26"/>
        <v>8.108058306099599</v>
      </c>
      <c r="AG43" s="28">
        <f t="shared" si="27"/>
        <v>3.1538847069421303</v>
      </c>
      <c r="AH43" s="25"/>
      <c r="BX43" s="2"/>
    </row>
    <row r="44" spans="1:76" ht="16.5">
      <c r="A44" s="19">
        <v>4</v>
      </c>
      <c r="B44" s="15">
        <v>-0.8198187393907777</v>
      </c>
      <c r="C44" s="11">
        <v>249.01848455721432</v>
      </c>
      <c r="D44" s="4">
        <v>-0.12932473383011736</v>
      </c>
      <c r="E44" s="31">
        <f t="shared" si="0"/>
        <v>0.8299564158656251</v>
      </c>
      <c r="F44" s="31">
        <f t="shared" si="1"/>
        <v>0.386433532590515</v>
      </c>
      <c r="G44" s="31">
        <f t="shared" si="2"/>
        <v>117.37849849503384</v>
      </c>
      <c r="H44" s="31">
        <f t="shared" si="3"/>
        <v>0.060959101498994736</v>
      </c>
      <c r="I44" s="31">
        <f t="shared" si="4"/>
        <v>0.3912120744122673</v>
      </c>
      <c r="J44" s="31">
        <f t="shared" si="5"/>
        <v>1.5647668824420193</v>
      </c>
      <c r="K44" s="31">
        <f t="shared" si="6"/>
        <v>18.4073986903905</v>
      </c>
      <c r="L44" s="31">
        <f t="shared" si="7"/>
        <v>406.4137880060367</v>
      </c>
      <c r="M44" s="31">
        <f t="shared" si="8"/>
        <v>0.047541532451449486</v>
      </c>
      <c r="N44" s="31">
        <f t="shared" si="9"/>
        <v>416.60878604874944</v>
      </c>
      <c r="O44" s="31">
        <f t="shared" si="10"/>
        <v>1329.0140105386135</v>
      </c>
      <c r="P44" s="31">
        <f t="shared" si="11"/>
        <v>2170.4915248162415</v>
      </c>
      <c r="Q44" s="4">
        <f t="shared" si="12"/>
        <v>0.017122717666814006</v>
      </c>
      <c r="R44" s="25"/>
      <c r="S44" s="28">
        <f t="shared" si="13"/>
        <v>3.3817084917723665</v>
      </c>
      <c r="T44" s="28">
        <f t="shared" si="14"/>
        <v>2.471337718746175</v>
      </c>
      <c r="U44" s="28">
        <f t="shared" si="15"/>
        <v>1.5647668824420193</v>
      </c>
      <c r="V44" s="28">
        <f t="shared" si="16"/>
        <v>0.6774275992271317</v>
      </c>
      <c r="W44" s="28">
        <f t="shared" si="17"/>
        <v>0.3724894461853994</v>
      </c>
      <c r="X44" s="28">
        <f t="shared" si="18"/>
        <v>1965.7206335332269</v>
      </c>
      <c r="Y44" s="28">
        <f t="shared" si="19"/>
        <v>1690.34083119125</v>
      </c>
      <c r="Z44" s="28">
        <f t="shared" si="20"/>
        <v>1336.3393928717048</v>
      </c>
      <c r="AA44" s="28">
        <f t="shared" si="21"/>
        <v>843.2841189617689</v>
      </c>
      <c r="AB44" s="28">
        <f t="shared" si="22"/>
        <v>588.8450486265892</v>
      </c>
      <c r="AC44" s="28">
        <f t="shared" si="23"/>
        <v>112.87777046826982</v>
      </c>
      <c r="AD44" s="28">
        <f t="shared" si="24"/>
        <v>65.12459914235932</v>
      </c>
      <c r="AE44" s="28">
        <f t="shared" si="25"/>
        <v>30.2850272739715</v>
      </c>
      <c r="AF44" s="28">
        <f t="shared" si="26"/>
        <v>8.471339014059508</v>
      </c>
      <c r="AG44" s="28">
        <f t="shared" si="27"/>
        <v>3.781291609866961</v>
      </c>
      <c r="AH44" s="25"/>
      <c r="BX44" s="2"/>
    </row>
    <row r="45" spans="1:76" ht="16.5">
      <c r="A45" s="19">
        <v>5</v>
      </c>
      <c r="B45" s="15">
        <v>-0.8183791186552796</v>
      </c>
      <c r="C45" s="11">
        <v>249.07833636928586</v>
      </c>
      <c r="D45" s="4">
        <v>-0.17029335958175434</v>
      </c>
      <c r="E45" s="31">
        <f t="shared" si="0"/>
        <v>0.8359092116782976</v>
      </c>
      <c r="F45" s="31">
        <f t="shared" si="1"/>
        <v>0.3857549463376288</v>
      </c>
      <c r="G45" s="31">
        <f t="shared" si="2"/>
        <v>117.40671052052126</v>
      </c>
      <c r="H45" s="31">
        <f t="shared" si="3"/>
        <v>0.08027026141020709</v>
      </c>
      <c r="I45" s="31">
        <f t="shared" si="4"/>
        <v>0.3940180116324759</v>
      </c>
      <c r="J45" s="31">
        <f t="shared" si="5"/>
        <v>1.5759900473788124</v>
      </c>
      <c r="K45" s="31">
        <f t="shared" si="6"/>
        <v>18.342807813044512</v>
      </c>
      <c r="L45" s="31">
        <f t="shared" si="7"/>
        <v>405.19375423685403</v>
      </c>
      <c r="M45" s="31">
        <f t="shared" si="8"/>
        <v>0.08243381836696421</v>
      </c>
      <c r="N45" s="31">
        <f t="shared" si="9"/>
        <v>422.60640410091133</v>
      </c>
      <c r="O45" s="31">
        <f t="shared" si="10"/>
        <v>1346.0342107445745</v>
      </c>
      <c r="P45" s="31">
        <f t="shared" si="11"/>
        <v>2192.2596107137515</v>
      </c>
      <c r="Q45" s="4">
        <f t="shared" si="12"/>
        <v>0.017294443188295403</v>
      </c>
      <c r="R45" s="25"/>
      <c r="S45" s="28">
        <f t="shared" si="13"/>
        <v>3.385888794533444</v>
      </c>
      <c r="T45" s="28">
        <f t="shared" si="14"/>
        <v>2.4776760770625725</v>
      </c>
      <c r="U45" s="28">
        <f t="shared" si="15"/>
        <v>1.5759900473788124</v>
      </c>
      <c r="V45" s="28">
        <f t="shared" si="16"/>
        <v>0.7062864777934038</v>
      </c>
      <c r="W45" s="28">
        <f t="shared" si="17"/>
        <v>0.42914638607170535</v>
      </c>
      <c r="X45" s="28">
        <f t="shared" si="18"/>
        <v>1966.8397870432582</v>
      </c>
      <c r="Y45" s="28">
        <f t="shared" si="19"/>
        <v>1692.4979669795239</v>
      </c>
      <c r="Z45" s="28">
        <f t="shared" si="20"/>
        <v>1341.3867951039558</v>
      </c>
      <c r="AA45" s="28">
        <f t="shared" si="21"/>
        <v>863.7163342959732</v>
      </c>
      <c r="AB45" s="28">
        <f t="shared" si="22"/>
        <v>643.0183290759451</v>
      </c>
      <c r="AC45" s="28">
        <f t="shared" si="23"/>
        <v>113.12655643172629</v>
      </c>
      <c r="AD45" s="28">
        <f t="shared" si="24"/>
        <v>65.41284618642814</v>
      </c>
      <c r="AE45" s="28">
        <f t="shared" si="25"/>
        <v>30.638770938365163</v>
      </c>
      <c r="AF45" s="28">
        <f t="shared" si="26"/>
        <v>8.989553007273935</v>
      </c>
      <c r="AG45" s="28">
        <f t="shared" si="27"/>
        <v>4.544114660422202</v>
      </c>
      <c r="AH45" s="25"/>
      <c r="BX45" s="2"/>
    </row>
    <row r="46" spans="1:76" ht="16.5">
      <c r="A46" s="19">
        <v>6</v>
      </c>
      <c r="B46" s="15">
        <v>-0.8165897522528507</v>
      </c>
      <c r="C46" s="11">
        <v>248.9262978938888</v>
      </c>
      <c r="D46" s="4">
        <v>-0.21129872517543874</v>
      </c>
      <c r="E46" s="31">
        <f t="shared" si="0"/>
        <v>0.8434844247199457</v>
      </c>
      <c r="F46" s="31">
        <f t="shared" si="1"/>
        <v>0.3849115023581667</v>
      </c>
      <c r="G46" s="31">
        <f t="shared" si="2"/>
        <v>117.33504496530229</v>
      </c>
      <c r="H46" s="31">
        <f t="shared" si="3"/>
        <v>0.0995987391823892</v>
      </c>
      <c r="I46" s="31">
        <f t="shared" si="4"/>
        <v>0.39758869890169485</v>
      </c>
      <c r="J46" s="31">
        <f t="shared" si="5"/>
        <v>1.5902720533593926</v>
      </c>
      <c r="K46" s="31">
        <f t="shared" si="6"/>
        <v>18.262683281478534</v>
      </c>
      <c r="L46" s="31">
        <f t="shared" si="7"/>
        <v>403.5864475878695</v>
      </c>
      <c r="M46" s="31">
        <f t="shared" si="8"/>
        <v>0.12691230849092672</v>
      </c>
      <c r="N46" s="31">
        <f t="shared" si="9"/>
        <v>430.300634841224</v>
      </c>
      <c r="O46" s="31">
        <f t="shared" si="10"/>
        <v>1364.4579677033084</v>
      </c>
      <c r="P46" s="31">
        <f t="shared" si="11"/>
        <v>2216.734645722371</v>
      </c>
      <c r="Q46" s="4">
        <f t="shared" si="12"/>
        <v>0.017487523469672434</v>
      </c>
      <c r="R46" s="25"/>
      <c r="S46" s="28">
        <f t="shared" si="13"/>
        <v>3.389634154456492</v>
      </c>
      <c r="T46" s="28">
        <f t="shared" si="14"/>
        <v>2.4849942898146713</v>
      </c>
      <c r="U46" s="28">
        <f t="shared" si="15"/>
        <v>1.5902720533593926</v>
      </c>
      <c r="V46" s="28">
        <f t="shared" si="16"/>
        <v>0.7422435253413133</v>
      </c>
      <c r="W46" s="28">
        <f t="shared" si="17"/>
        <v>0.49099629535988526</v>
      </c>
      <c r="X46" s="28">
        <f t="shared" si="18"/>
        <v>1967.8414608211945</v>
      </c>
      <c r="Y46" s="28">
        <f t="shared" si="19"/>
        <v>1694.983920520216</v>
      </c>
      <c r="Z46" s="28">
        <f t="shared" si="20"/>
        <v>1347.7802646589016</v>
      </c>
      <c r="AA46" s="28">
        <f t="shared" si="21"/>
        <v>888.5405468340672</v>
      </c>
      <c r="AB46" s="28">
        <f t="shared" si="22"/>
        <v>697.869147947857</v>
      </c>
      <c r="AC46" s="28">
        <f t="shared" si="23"/>
        <v>113.34968639488515</v>
      </c>
      <c r="AD46" s="28">
        <f t="shared" si="24"/>
        <v>65.74642511607615</v>
      </c>
      <c r="AE46" s="28">
        <f t="shared" si="25"/>
        <v>31.09173809513708</v>
      </c>
      <c r="AF46" s="28">
        <f t="shared" si="26"/>
        <v>9.65321693414388</v>
      </c>
      <c r="AG46" s="28">
        <f t="shared" si="27"/>
        <v>5.433431194065904</v>
      </c>
      <c r="AH46" s="25"/>
      <c r="BX46" s="2"/>
    </row>
    <row r="47" spans="1:76" ht="16.5">
      <c r="A47" s="19">
        <v>7</v>
      </c>
      <c r="B47" s="15">
        <v>-0.814521089821648</v>
      </c>
      <c r="C47" s="11">
        <v>248.45779899296454</v>
      </c>
      <c r="D47" s="4">
        <v>-0.25243209734431343</v>
      </c>
      <c r="E47" s="31">
        <f t="shared" si="0"/>
        <v>0.8527406226596068</v>
      </c>
      <c r="F47" s="31">
        <f t="shared" si="1"/>
        <v>0.3839364081176752</v>
      </c>
      <c r="G47" s="31">
        <f t="shared" si="2"/>
        <v>117.11421116802477</v>
      </c>
      <c r="H47" s="31">
        <f t="shared" si="3"/>
        <v>0.11898755472274966</v>
      </c>
      <c r="I47" s="31">
        <f t="shared" si="4"/>
        <v>0.4019517429458434</v>
      </c>
      <c r="J47" s="31">
        <f t="shared" si="5"/>
        <v>1.6077233215421967</v>
      </c>
      <c r="K47" s="31">
        <f t="shared" si="6"/>
        <v>18.17027096890549</v>
      </c>
      <c r="L47" s="31">
        <f t="shared" si="7"/>
        <v>401.61129935042504</v>
      </c>
      <c r="M47" s="31">
        <f t="shared" si="8"/>
        <v>0.1811336512009001</v>
      </c>
      <c r="N47" s="31">
        <f t="shared" si="9"/>
        <v>439.7964872710001</v>
      </c>
      <c r="O47" s="31">
        <f t="shared" si="10"/>
        <v>1383.741455657358</v>
      </c>
      <c r="P47" s="31">
        <f t="shared" si="11"/>
        <v>2243.5006468988895</v>
      </c>
      <c r="Q47" s="4">
        <f t="shared" si="12"/>
        <v>0.017698676877080436</v>
      </c>
      <c r="R47" s="25"/>
      <c r="S47" s="28">
        <f t="shared" si="13"/>
        <v>3.3923554472023083</v>
      </c>
      <c r="T47" s="28">
        <f t="shared" si="14"/>
        <v>2.493083584839779</v>
      </c>
      <c r="U47" s="28">
        <f t="shared" si="15"/>
        <v>1.6077233215421967</v>
      </c>
      <c r="V47" s="28">
        <f t="shared" si="16"/>
        <v>0.7848573329354207</v>
      </c>
      <c r="W47" s="28">
        <f t="shared" si="17"/>
        <v>0.5560090145789456</v>
      </c>
      <c r="X47" s="28">
        <f t="shared" si="18"/>
        <v>1968.5686400704703</v>
      </c>
      <c r="Y47" s="28">
        <f t="shared" si="19"/>
        <v>1697.726017038851</v>
      </c>
      <c r="Z47" s="28">
        <f t="shared" si="20"/>
        <v>1355.548057231453</v>
      </c>
      <c r="AA47" s="28">
        <f t="shared" si="21"/>
        <v>917.1175972982903</v>
      </c>
      <c r="AB47" s="28">
        <f t="shared" si="22"/>
        <v>751.5719375271556</v>
      </c>
      <c r="AC47" s="28">
        <f t="shared" si="23"/>
        <v>113.51194334860962</v>
      </c>
      <c r="AD47" s="28">
        <f t="shared" si="24"/>
        <v>66.1161135717395</v>
      </c>
      <c r="AE47" s="28">
        <f t="shared" si="25"/>
        <v>31.649495915835143</v>
      </c>
      <c r="AF47" s="28">
        <f t="shared" si="26"/>
        <v>10.465589609614135</v>
      </c>
      <c r="AG47" s="28">
        <f t="shared" si="27"/>
        <v>6.431886674771803</v>
      </c>
      <c r="AH47" s="25"/>
      <c r="BX47" s="2"/>
    </row>
    <row r="48" spans="1:76" ht="16.5">
      <c r="A48" s="19">
        <v>8</v>
      </c>
      <c r="B48" s="15">
        <v>-0.811908099555227</v>
      </c>
      <c r="C48" s="11">
        <v>247.71187929577997</v>
      </c>
      <c r="D48" s="4">
        <v>-0.2939766016246563</v>
      </c>
      <c r="E48" s="31">
        <f t="shared" si="0"/>
        <v>0.863491172176162</v>
      </c>
      <c r="F48" s="31">
        <f t="shared" si="1"/>
        <v>0.38270473700458496</v>
      </c>
      <c r="G48" s="31">
        <f t="shared" si="2"/>
        <v>116.76261102794247</v>
      </c>
      <c r="H48" s="31">
        <f t="shared" si="3"/>
        <v>0.13857016338659262</v>
      </c>
      <c r="I48" s="31">
        <f t="shared" si="4"/>
        <v>0.4070191714240688</v>
      </c>
      <c r="J48" s="31">
        <f t="shared" si="5"/>
        <v>1.6279919808717513</v>
      </c>
      <c r="K48" s="31">
        <f t="shared" si="6"/>
        <v>18.053877211447716</v>
      </c>
      <c r="L48" s="31">
        <f t="shared" si="7"/>
        <v>399.05978536712735</v>
      </c>
      <c r="M48" s="31">
        <f t="shared" si="8"/>
        <v>0.24566060691192676</v>
      </c>
      <c r="N48" s="31">
        <f t="shared" si="9"/>
        <v>450.955466237048</v>
      </c>
      <c r="O48" s="31">
        <f t="shared" si="10"/>
        <v>1403.6422127669218</v>
      </c>
      <c r="P48" s="31">
        <f t="shared" si="11"/>
        <v>2271.957002189457</v>
      </c>
      <c r="Q48" s="4">
        <f t="shared" si="12"/>
        <v>0.017923165262266914</v>
      </c>
      <c r="R48" s="25"/>
      <c r="S48" s="28">
        <f t="shared" si="13"/>
        <v>3.3939669280509297</v>
      </c>
      <c r="T48" s="28">
        <f t="shared" si="14"/>
        <v>2.5017408938821957</v>
      </c>
      <c r="U48" s="28">
        <f t="shared" si="15"/>
        <v>1.6279919808717513</v>
      </c>
      <c r="V48" s="28">
        <f t="shared" si="16"/>
        <v>0.8330442231263521</v>
      </c>
      <c r="W48" s="28">
        <f t="shared" si="17"/>
        <v>0.6241168671225484</v>
      </c>
      <c r="X48" s="28">
        <f t="shared" si="18"/>
        <v>1968.99901380537</v>
      </c>
      <c r="Y48" s="28">
        <f t="shared" si="19"/>
        <v>1700.6539468302672</v>
      </c>
      <c r="Z48" s="28">
        <f t="shared" si="20"/>
        <v>1364.5094788208032</v>
      </c>
      <c r="AA48" s="28">
        <f t="shared" si="21"/>
        <v>948.4213718831321</v>
      </c>
      <c r="AB48" s="28">
        <f t="shared" si="22"/>
        <v>804.2372519742422</v>
      </c>
      <c r="AC48" s="28">
        <f t="shared" si="23"/>
        <v>113.60808171340217</v>
      </c>
      <c r="AD48" s="28">
        <f t="shared" si="24"/>
        <v>66.51287988015584</v>
      </c>
      <c r="AE48" s="28">
        <f t="shared" si="25"/>
        <v>32.30320128617624</v>
      </c>
      <c r="AF48" s="28">
        <f t="shared" si="26"/>
        <v>11.417978107494504</v>
      </c>
      <c r="AG48" s="28">
        <f t="shared" si="27"/>
        <v>7.547859533566296</v>
      </c>
      <c r="AH48" s="25"/>
      <c r="BX48" s="2"/>
    </row>
    <row r="49" spans="1:76" ht="16.5">
      <c r="A49" s="19">
        <v>9</v>
      </c>
      <c r="B49" s="15">
        <v>-0.808983216110299</v>
      </c>
      <c r="C49" s="11">
        <v>246.684348194236</v>
      </c>
      <c r="D49" s="4">
        <v>-0.3360578703147423</v>
      </c>
      <c r="E49" s="31">
        <f t="shared" si="0"/>
        <v>0.8760072694610718</v>
      </c>
      <c r="F49" s="31">
        <f t="shared" si="1"/>
        <v>0.3813260504880033</v>
      </c>
      <c r="G49" s="31">
        <f t="shared" si="2"/>
        <v>116.27826924074287</v>
      </c>
      <c r="H49" s="31">
        <f t="shared" si="3"/>
        <v>0.15840578379200673</v>
      </c>
      <c r="I49" s="31">
        <f t="shared" si="4"/>
        <v>0.4129188166208209</v>
      </c>
      <c r="J49" s="31">
        <f t="shared" si="5"/>
        <v>1.6515893338826593</v>
      </c>
      <c r="K49" s="31">
        <f t="shared" si="6"/>
        <v>17.924034015592827</v>
      </c>
      <c r="L49" s="31">
        <f t="shared" si="7"/>
        <v>396.13420168056246</v>
      </c>
      <c r="M49" s="31">
        <f t="shared" si="8"/>
        <v>0.32102446569602533</v>
      </c>
      <c r="N49" s="31">
        <f t="shared" si="9"/>
        <v>464.12319359763194</v>
      </c>
      <c r="O49" s="31">
        <f t="shared" si="10"/>
        <v>1424.1434890065061</v>
      </c>
      <c r="P49" s="31">
        <f t="shared" si="11"/>
        <v>2302.6459427659893</v>
      </c>
      <c r="Q49" s="4">
        <f t="shared" si="12"/>
        <v>0.01816526621450633</v>
      </c>
      <c r="R49" s="25"/>
      <c r="S49" s="28">
        <f t="shared" si="13"/>
        <v>3.394996492487788</v>
      </c>
      <c r="T49" s="28">
        <f t="shared" si="14"/>
        <v>2.511520515454172</v>
      </c>
      <c r="U49" s="28">
        <f t="shared" si="15"/>
        <v>1.6515893338826593</v>
      </c>
      <c r="V49" s="28">
        <f t="shared" si="16"/>
        <v>0.8865874287106207</v>
      </c>
      <c r="W49" s="28">
        <f t="shared" si="17"/>
        <v>0.6946978641146226</v>
      </c>
      <c r="X49" s="28">
        <f t="shared" si="18"/>
        <v>1969.273881961878</v>
      </c>
      <c r="Y49" s="28">
        <f t="shared" si="19"/>
        <v>1703.9531308834942</v>
      </c>
      <c r="Z49" s="28">
        <f t="shared" si="20"/>
        <v>1374.8622007393153</v>
      </c>
      <c r="AA49" s="28">
        <f t="shared" si="21"/>
        <v>982.0579173209497</v>
      </c>
      <c r="AB49" s="28">
        <f t="shared" si="22"/>
        <v>855.5678732069927</v>
      </c>
      <c r="AC49" s="28">
        <f t="shared" si="23"/>
        <v>113.6695248660247</v>
      </c>
      <c r="AD49" s="28">
        <f t="shared" si="24"/>
        <v>66.96247375434173</v>
      </c>
      <c r="AE49" s="28">
        <f t="shared" si="25"/>
        <v>33.07225366015471</v>
      </c>
      <c r="AF49" s="28">
        <f t="shared" si="26"/>
        <v>12.518275229927353</v>
      </c>
      <c r="AG49" s="28">
        <f t="shared" si="27"/>
        <v>8.77991340945296</v>
      </c>
      <c r="AH49" s="25"/>
      <c r="BX49" s="2"/>
    </row>
    <row r="50" spans="1:76" ht="16.5">
      <c r="A50" s="19">
        <v>10</v>
      </c>
      <c r="B50" s="15">
        <v>-0.805486638655367</v>
      </c>
      <c r="C50" s="11">
        <v>245.26913205326798</v>
      </c>
      <c r="D50" s="4">
        <v>-0.3788205015613247</v>
      </c>
      <c r="E50" s="31">
        <f t="shared" si="0"/>
        <v>0.8901200466540989</v>
      </c>
      <c r="F50" s="31">
        <f t="shared" si="1"/>
        <v>0.37967788765277727</v>
      </c>
      <c r="G50" s="31">
        <f t="shared" si="2"/>
        <v>115.61118644980814</v>
      </c>
      <c r="H50" s="31">
        <f t="shared" si="3"/>
        <v>0.178562574386672</v>
      </c>
      <c r="I50" s="31">
        <f t="shared" si="4"/>
        <v>0.41957108020461886</v>
      </c>
      <c r="J50" s="31">
        <f t="shared" si="5"/>
        <v>1.6781970038142182</v>
      </c>
      <c r="K50" s="31">
        <f t="shared" si="6"/>
        <v>17.769426774689936</v>
      </c>
      <c r="L50" s="31">
        <f t="shared" si="7"/>
        <v>392.5745805914332</v>
      </c>
      <c r="M50" s="31">
        <f t="shared" si="8"/>
        <v>0.4079218228558755</v>
      </c>
      <c r="N50" s="31">
        <f t="shared" si="9"/>
        <v>479.19802086196273</v>
      </c>
      <c r="O50" s="31">
        <f t="shared" si="10"/>
        <v>1444.9899203913621</v>
      </c>
      <c r="P50" s="31">
        <f t="shared" si="11"/>
        <v>2334.939870442304</v>
      </c>
      <c r="Q50" s="4">
        <f t="shared" si="12"/>
        <v>0.0184200286955535</v>
      </c>
      <c r="R50" s="25"/>
      <c r="S50" s="28">
        <f t="shared" si="13"/>
        <v>3.394363767047095</v>
      </c>
      <c r="T50" s="28">
        <f t="shared" si="14"/>
        <v>2.521756944651267</v>
      </c>
      <c r="U50" s="28">
        <f t="shared" si="15"/>
        <v>1.6781970038142182</v>
      </c>
      <c r="V50" s="28">
        <f t="shared" si="16"/>
        <v>0.944969137159789</v>
      </c>
      <c r="W50" s="28">
        <f t="shared" si="17"/>
        <v>0.7675431894150242</v>
      </c>
      <c r="X50" s="28">
        <f t="shared" si="18"/>
        <v>1969.104968720004</v>
      </c>
      <c r="Y50" s="28">
        <f t="shared" si="19"/>
        <v>1707.3970086892696</v>
      </c>
      <c r="Z50" s="28">
        <f t="shared" si="20"/>
        <v>1386.4338295935868</v>
      </c>
      <c r="AA50" s="28">
        <f t="shared" si="21"/>
        <v>1017.4848030720224</v>
      </c>
      <c r="AB50" s="28">
        <f t="shared" si="22"/>
        <v>905.6122762568893</v>
      </c>
      <c r="AC50" s="28">
        <f t="shared" si="23"/>
        <v>113.63176264363393</v>
      </c>
      <c r="AD50" s="28">
        <f t="shared" si="24"/>
        <v>67.43464975136287</v>
      </c>
      <c r="AE50" s="28">
        <f t="shared" si="25"/>
        <v>33.94972518041491</v>
      </c>
      <c r="AF50" s="28">
        <f t="shared" si="26"/>
        <v>13.76843953593926</v>
      </c>
      <c r="AG50" s="28">
        <f t="shared" si="27"/>
        <v>10.132138513686938</v>
      </c>
      <c r="AH50" s="25"/>
      <c r="BX50" s="2"/>
    </row>
    <row r="51" spans="1:76" ht="16.5">
      <c r="A51" s="19">
        <v>11</v>
      </c>
      <c r="B51" s="15">
        <v>-0.8015244467186982</v>
      </c>
      <c r="C51" s="11">
        <v>243.52097485084414</v>
      </c>
      <c r="D51" s="4">
        <v>-0.42258181905155917</v>
      </c>
      <c r="E51" s="31">
        <f t="shared" si="0"/>
        <v>0.9060997916789518</v>
      </c>
      <c r="F51" s="31">
        <f t="shared" si="1"/>
        <v>0.3778102506333717</v>
      </c>
      <c r="G51" s="31">
        <f t="shared" si="2"/>
        <v>114.78716702844409</v>
      </c>
      <c r="H51" s="31">
        <f t="shared" si="3"/>
        <v>0.1991901103236197</v>
      </c>
      <c r="I51" s="31">
        <f t="shared" si="4"/>
        <v>0.4271033663346461</v>
      </c>
      <c r="J51" s="31">
        <f t="shared" si="5"/>
        <v>1.7083245807890621</v>
      </c>
      <c r="K51" s="31">
        <f t="shared" si="6"/>
        <v>17.595040974313658</v>
      </c>
      <c r="L51" s="31">
        <f t="shared" si="7"/>
        <v>388.50195365818047</v>
      </c>
      <c r="M51" s="31">
        <f t="shared" si="8"/>
        <v>0.5076116801622735</v>
      </c>
      <c r="N51" s="31">
        <f t="shared" si="9"/>
        <v>496.5579195242668</v>
      </c>
      <c r="O51" s="31">
        <f t="shared" si="10"/>
        <v>1466.3858699962116</v>
      </c>
      <c r="P51" s="31">
        <f t="shared" si="11"/>
        <v>2369.5483958331347</v>
      </c>
      <c r="Q51" s="4">
        <f t="shared" si="12"/>
        <v>0.01869305072874579</v>
      </c>
      <c r="R51" s="25"/>
      <c r="S51" s="28">
        <f t="shared" si="13"/>
        <v>3.3929436443080387</v>
      </c>
      <c r="T51" s="28">
        <f t="shared" si="14"/>
        <v>2.533170865088996</v>
      </c>
      <c r="U51" s="28">
        <f t="shared" si="15"/>
        <v>1.7083245807890621</v>
      </c>
      <c r="V51" s="28">
        <f t="shared" si="16"/>
        <v>1.0081276200102272</v>
      </c>
      <c r="W51" s="28">
        <f t="shared" si="17"/>
        <v>0.8430895008442543</v>
      </c>
      <c r="X51" s="28">
        <f t="shared" si="18"/>
        <v>1968.7257492266845</v>
      </c>
      <c r="Y51" s="28">
        <f t="shared" si="19"/>
        <v>1711.2257321864486</v>
      </c>
      <c r="Z51" s="28">
        <f t="shared" si="20"/>
        <v>1399.4087996602689</v>
      </c>
      <c r="AA51" s="28">
        <f t="shared" si="21"/>
        <v>1054.4807160101072</v>
      </c>
      <c r="AB51" s="28">
        <f t="shared" si="22"/>
        <v>954.8206291023516</v>
      </c>
      <c r="AC51" s="28">
        <f t="shared" si="23"/>
        <v>113.54702959938622</v>
      </c>
      <c r="AD51" s="28">
        <f t="shared" si="24"/>
        <v>67.96304734316666</v>
      </c>
      <c r="AE51" s="28">
        <f t="shared" si="25"/>
        <v>34.95647037835468</v>
      </c>
      <c r="AF51" s="28">
        <f t="shared" si="26"/>
        <v>15.180143578160129</v>
      </c>
      <c r="AG51" s="28">
        <f t="shared" si="27"/>
        <v>11.621032896129972</v>
      </c>
      <c r="AH51" s="25"/>
      <c r="BX51" s="2"/>
    </row>
    <row r="52" spans="1:76" ht="16.5">
      <c r="A52" s="19">
        <v>12</v>
      </c>
      <c r="B52" s="15">
        <v>-0.7970047609221869</v>
      </c>
      <c r="C52" s="11">
        <v>241.13815804634072</v>
      </c>
      <c r="D52" s="4">
        <v>-0.4676103714250752</v>
      </c>
      <c r="E52" s="31">
        <f t="shared" si="0"/>
        <v>0.924054137156979</v>
      </c>
      <c r="F52" s="31">
        <f t="shared" si="1"/>
        <v>0.37567983074343</v>
      </c>
      <c r="G52" s="31">
        <f t="shared" si="2"/>
        <v>113.66399153728057</v>
      </c>
      <c r="H52" s="31">
        <f t="shared" si="3"/>
        <v>0.22041497592508846</v>
      </c>
      <c r="I52" s="31">
        <f t="shared" si="4"/>
        <v>0.4355664092184676</v>
      </c>
      <c r="J52" s="31">
        <f t="shared" si="5"/>
        <v>1.742174991079147</v>
      </c>
      <c r="K52" s="31">
        <f t="shared" si="6"/>
        <v>17.397168421550546</v>
      </c>
      <c r="L52" s="31">
        <f t="shared" si="7"/>
        <v>383.72649183819885</v>
      </c>
      <c r="M52" s="31">
        <f t="shared" si="8"/>
        <v>0.6215531336347185</v>
      </c>
      <c r="N52" s="31">
        <f t="shared" si="9"/>
        <v>516.4314510367601</v>
      </c>
      <c r="O52" s="31">
        <f t="shared" si="10"/>
        <v>1488.173509323979</v>
      </c>
      <c r="P52" s="31">
        <f t="shared" si="11"/>
        <v>2406.3501737541233</v>
      </c>
      <c r="Q52" s="4">
        <f t="shared" si="12"/>
        <v>0.018983375038135214</v>
      </c>
      <c r="R52" s="25"/>
      <c r="S52" s="28">
        <f t="shared" si="13"/>
        <v>3.3887587728408994</v>
      </c>
      <c r="T52" s="28">
        <f t="shared" si="14"/>
        <v>2.5449381430720868</v>
      </c>
      <c r="U52" s="28">
        <f t="shared" si="15"/>
        <v>1.742174991079147</v>
      </c>
      <c r="V52" s="28">
        <f t="shared" si="16"/>
        <v>1.0766042276256529</v>
      </c>
      <c r="W52" s="28">
        <f t="shared" si="17"/>
        <v>0.9210966519658027</v>
      </c>
      <c r="X52" s="28">
        <f t="shared" si="18"/>
        <v>1967.6074330003346</v>
      </c>
      <c r="Y52" s="28">
        <f t="shared" si="19"/>
        <v>1715.160568687273</v>
      </c>
      <c r="Z52" s="28">
        <f t="shared" si="20"/>
        <v>1413.8293807641858</v>
      </c>
      <c r="AA52" s="28">
        <f t="shared" si="21"/>
        <v>1093.1790110575384</v>
      </c>
      <c r="AB52" s="28">
        <f t="shared" si="22"/>
        <v>1003.1482159546857</v>
      </c>
      <c r="AC52" s="28">
        <f t="shared" si="23"/>
        <v>113.29751610896868</v>
      </c>
      <c r="AD52" s="28">
        <f t="shared" si="24"/>
        <v>68.50990884431238</v>
      </c>
      <c r="AE52" s="28">
        <f t="shared" si="25"/>
        <v>36.1043344569684</v>
      </c>
      <c r="AF52" s="28">
        <f t="shared" si="26"/>
        <v>16.780293671628524</v>
      </c>
      <c r="AG52" s="28">
        <f t="shared" si="27"/>
        <v>13.250884073998863</v>
      </c>
      <c r="AH52" s="25"/>
      <c r="BX52" s="2"/>
    </row>
    <row r="53" spans="1:76" ht="16.5">
      <c r="A53" s="19">
        <v>13</v>
      </c>
      <c r="B53" s="15">
        <v>-0.7918310116276626</v>
      </c>
      <c r="C53" s="11">
        <v>238.16823057209103</v>
      </c>
      <c r="D53" s="4">
        <v>-0.5142884104791888</v>
      </c>
      <c r="E53" s="31">
        <f t="shared" si="0"/>
        <v>0.9441869095303631</v>
      </c>
      <c r="F53" s="31">
        <f t="shared" si="1"/>
        <v>0.3732411084740337</v>
      </c>
      <c r="G53" s="31">
        <f t="shared" si="2"/>
        <v>112.26407285981195</v>
      </c>
      <c r="H53" s="31">
        <f t="shared" si="3"/>
        <v>0.24241735115681773</v>
      </c>
      <c r="I53" s="31">
        <f t="shared" si="4"/>
        <v>0.4450562854255777</v>
      </c>
      <c r="J53" s="31">
        <f t="shared" si="5"/>
        <v>1.78013252096794</v>
      </c>
      <c r="K53" s="31">
        <f t="shared" si="6"/>
        <v>17.17203440159453</v>
      </c>
      <c r="L53" s="31">
        <f t="shared" si="7"/>
        <v>378.2018643341165</v>
      </c>
      <c r="M53" s="31">
        <f t="shared" si="8"/>
        <v>0.7518366028299753</v>
      </c>
      <c r="N53" s="31">
        <f t="shared" si="9"/>
        <v>539.1800337642663</v>
      </c>
      <c r="O53" s="31">
        <f t="shared" si="10"/>
        <v>1510.568381179753</v>
      </c>
      <c r="P53" s="31">
        <f t="shared" si="11"/>
        <v>2445.8741502825605</v>
      </c>
      <c r="Q53" s="4">
        <f t="shared" si="12"/>
        <v>0.0192951744086596</v>
      </c>
      <c r="R53" s="25"/>
      <c r="S53" s="28">
        <f t="shared" si="13"/>
        <v>3.3824768558803484</v>
      </c>
      <c r="T53" s="28">
        <f t="shared" si="14"/>
        <v>2.557626380582064</v>
      </c>
      <c r="U53" s="28">
        <f t="shared" si="15"/>
        <v>1.78013252096794</v>
      </c>
      <c r="V53" s="28">
        <f t="shared" si="16"/>
        <v>1.1503942581746938</v>
      </c>
      <c r="W53" s="28">
        <f t="shared" si="17"/>
        <v>1.0025258967977826</v>
      </c>
      <c r="X53" s="28">
        <f t="shared" si="18"/>
        <v>1965.9264320906848</v>
      </c>
      <c r="Y53" s="28">
        <f t="shared" si="19"/>
        <v>1719.3893054282014</v>
      </c>
      <c r="Z53" s="28">
        <f t="shared" si="20"/>
        <v>1429.806273025423</v>
      </c>
      <c r="AA53" s="28">
        <f t="shared" si="21"/>
        <v>1133.391980846046</v>
      </c>
      <c r="AB53" s="28">
        <f t="shared" si="22"/>
        <v>1051.2518772696822</v>
      </c>
      <c r="AC53" s="28">
        <f t="shared" si="23"/>
        <v>112.92347854844097</v>
      </c>
      <c r="AD53" s="28">
        <f t="shared" si="24"/>
        <v>69.10196527803004</v>
      </c>
      <c r="AE53" s="28">
        <f t="shared" si="25"/>
        <v>37.41250927607873</v>
      </c>
      <c r="AF53" s="28">
        <f t="shared" si="26"/>
        <v>18.58563766853583</v>
      </c>
      <c r="AG53" s="28">
        <f t="shared" si="27"/>
        <v>15.052446467641802</v>
      </c>
      <c r="AH53" s="25"/>
      <c r="BX53" s="2"/>
    </row>
    <row r="54" spans="1:76" ht="16.5">
      <c r="A54" s="19">
        <v>14</v>
      </c>
      <c r="B54" s="15">
        <v>-0.7860744857851696</v>
      </c>
      <c r="C54" s="11">
        <v>234.15578260976827</v>
      </c>
      <c r="D54" s="4">
        <v>-0.5627596874814667</v>
      </c>
      <c r="E54" s="31">
        <f t="shared" si="0"/>
        <v>0.96675310346368</v>
      </c>
      <c r="F54" s="31">
        <f t="shared" si="1"/>
        <v>0.3705276859699126</v>
      </c>
      <c r="G54" s="31">
        <f t="shared" si="2"/>
        <v>110.37274692895038</v>
      </c>
      <c r="H54" s="31">
        <f t="shared" si="3"/>
        <v>0.265264995277618</v>
      </c>
      <c r="I54" s="31">
        <f t="shared" si="4"/>
        <v>0.4556931904141786</v>
      </c>
      <c r="J54" s="31">
        <f t="shared" si="5"/>
        <v>1.8226779272743543</v>
      </c>
      <c r="K54" s="31">
        <f t="shared" si="6"/>
        <v>16.923264299466368</v>
      </c>
      <c r="L54" s="31">
        <f t="shared" si="7"/>
        <v>371.828853177998</v>
      </c>
      <c r="M54" s="31">
        <f t="shared" si="8"/>
        <v>0.9002351160625217</v>
      </c>
      <c r="N54" s="31">
        <f t="shared" si="9"/>
        <v>565.2609726800945</v>
      </c>
      <c r="O54" s="31">
        <f t="shared" si="10"/>
        <v>1533.3860523912779</v>
      </c>
      <c r="P54" s="31">
        <f t="shared" si="11"/>
        <v>2488.299377664899</v>
      </c>
      <c r="Q54" s="4">
        <f t="shared" si="12"/>
        <v>0.019629861359570257</v>
      </c>
      <c r="R54" s="25"/>
      <c r="S54" s="28">
        <f t="shared" si="13"/>
        <v>3.3715256203206843</v>
      </c>
      <c r="T54" s="28">
        <f t="shared" si="14"/>
        <v>2.5703351277983657</v>
      </c>
      <c r="U54" s="28">
        <f t="shared" si="15"/>
        <v>1.8226779272743543</v>
      </c>
      <c r="V54" s="28">
        <f t="shared" si="16"/>
        <v>1.2303582732746796</v>
      </c>
      <c r="W54" s="28">
        <f t="shared" si="17"/>
        <v>1.0869694712001756</v>
      </c>
      <c r="X54" s="28">
        <f t="shared" si="18"/>
        <v>1962.9893539082227</v>
      </c>
      <c r="Y54" s="28">
        <f t="shared" si="19"/>
        <v>1723.6103285236582</v>
      </c>
      <c r="Z54" s="28">
        <f t="shared" si="20"/>
        <v>1447.4780942113753</v>
      </c>
      <c r="AA54" s="28">
        <f t="shared" si="21"/>
        <v>1175.3937010817556</v>
      </c>
      <c r="AB54" s="28">
        <f t="shared" si="22"/>
        <v>1098.9174483896145</v>
      </c>
      <c r="AC54" s="28">
        <f t="shared" si="23"/>
        <v>112.27287739417893</v>
      </c>
      <c r="AD54" s="28">
        <f t="shared" si="24"/>
        <v>69.6974700767885</v>
      </c>
      <c r="AE54" s="28">
        <f t="shared" si="25"/>
        <v>38.90523852272135</v>
      </c>
      <c r="AF54" s="28">
        <f t="shared" si="26"/>
        <v>20.63693496498042</v>
      </c>
      <c r="AG54" s="28">
        <f t="shared" si="27"/>
        <v>17.028814883092977</v>
      </c>
      <c r="AH54" s="25"/>
      <c r="BX54" s="2"/>
    </row>
    <row r="55" spans="1:76" ht="16.5">
      <c r="A55" s="15">
        <f>J26</f>
        <v>15.673373548625944</v>
      </c>
      <c r="B55" s="15">
        <v>-0.7797235727397585</v>
      </c>
      <c r="C55" s="11">
        <v>228.70524440167958</v>
      </c>
      <c r="D55" s="4">
        <v>-0.6155142377819834</v>
      </c>
      <c r="E55" s="31">
        <f t="shared" si="0"/>
        <v>0.9933914771118129</v>
      </c>
      <c r="F55" s="31">
        <f t="shared" si="1"/>
        <v>0.36753409037933465</v>
      </c>
      <c r="G55" s="31">
        <f t="shared" si="2"/>
        <v>107.80355616388383</v>
      </c>
      <c r="H55" s="31">
        <f t="shared" si="3"/>
        <v>0.29013162280555427</v>
      </c>
      <c r="I55" s="31">
        <f t="shared" si="4"/>
        <v>0.46824957676729334</v>
      </c>
      <c r="J55" s="31">
        <f t="shared" si="5"/>
        <v>1.8729008595752514</v>
      </c>
      <c r="K55" s="31">
        <f t="shared" si="6"/>
        <v>16.650913500695413</v>
      </c>
      <c r="L55" s="31">
        <f t="shared" si="7"/>
        <v>364.4786001824372</v>
      </c>
      <c r="M55" s="31">
        <f t="shared" si="8"/>
        <v>1.0769268295945609</v>
      </c>
      <c r="N55" s="31">
        <f t="shared" si="9"/>
        <v>596.8410845531762</v>
      </c>
      <c r="O55" s="31">
        <f t="shared" si="10"/>
        <v>1557.8850277446898</v>
      </c>
      <c r="P55" s="31">
        <f t="shared" si="11"/>
        <v>2536.9325528105933</v>
      </c>
      <c r="Q55" s="4">
        <f>P55*J$31*(A55-A54)</f>
        <v>0.033490098297881264</v>
      </c>
      <c r="R55" s="25"/>
      <c r="S55" s="28">
        <f t="shared" si="13"/>
        <v>3.3553259217794933</v>
      </c>
      <c r="T55" s="28">
        <f t="shared" si="14"/>
        <v>2.5843562699725506</v>
      </c>
      <c r="U55" s="28">
        <f t="shared" si="15"/>
        <v>1.8729008595752514</v>
      </c>
      <c r="V55" s="28">
        <f t="shared" si="16"/>
        <v>1.3209061057922493</v>
      </c>
      <c r="W55" s="28">
        <f t="shared" si="17"/>
        <v>1.1789839955279395</v>
      </c>
      <c r="X55" s="28">
        <f t="shared" si="18"/>
        <v>1958.6292426835796</v>
      </c>
      <c r="Y55" s="28">
        <f t="shared" si="19"/>
        <v>1728.250439168149</v>
      </c>
      <c r="Z55" s="28">
        <f t="shared" si="20"/>
        <v>1468.0275182361634</v>
      </c>
      <c r="AA55" s="28">
        <f t="shared" si="21"/>
        <v>1221.1678536228064</v>
      </c>
      <c r="AB55" s="28">
        <f t="shared" si="22"/>
        <v>1148.5889385692085</v>
      </c>
      <c r="AC55" s="28">
        <f t="shared" si="23"/>
        <v>111.3138656920392</v>
      </c>
      <c r="AD55" s="28">
        <f t="shared" si="24"/>
        <v>70.35736377868591</v>
      </c>
      <c r="AE55" s="28">
        <f t="shared" si="25"/>
        <v>40.703300610851215</v>
      </c>
      <c r="AF55" s="28">
        <f t="shared" si="26"/>
        <v>23.07891033595048</v>
      </c>
      <c r="AG55" s="28">
        <f t="shared" si="27"/>
        <v>19.307706026016444</v>
      </c>
      <c r="AH55" s="25"/>
      <c r="BX55" s="2"/>
    </row>
    <row r="56" spans="2:76" ht="16.5">
      <c r="B56" s="15"/>
      <c r="D56" s="4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R56" s="25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30"/>
      <c r="AE56" s="30"/>
      <c r="AF56" s="30"/>
      <c r="AG56" s="30"/>
      <c r="AH56" s="25"/>
      <c r="BX56" s="2"/>
    </row>
    <row r="57" spans="1:76" ht="16.5">
      <c r="A57" s="15">
        <f>I27</f>
        <v>17.081863443783423</v>
      </c>
      <c r="B57" s="15">
        <v>-0.7697157603408762</v>
      </c>
      <c r="C57" s="11">
        <v>221.1340494294688</v>
      </c>
      <c r="D57" s="4">
        <v>-0.471884695094082</v>
      </c>
      <c r="E57" s="31">
        <f aca="true" t="shared" si="28" ref="E57:E76">SQRT(B57^2+D57^2)</f>
        <v>0.9028496647732489</v>
      </c>
      <c r="F57" s="31">
        <f aca="true" t="shared" si="29" ref="F57:F76">-B57*$E$26*(1-$E$30)/$E$27/$E$31</f>
        <v>0.36281676188587136</v>
      </c>
      <c r="G57" s="31">
        <f aca="true" t="shared" si="30" ref="G57:G76">C57*$E$26*(1-$E$30)/$E$27/$E$31</f>
        <v>104.23476287036002</v>
      </c>
      <c r="H57" s="31">
        <f aca="true" t="shared" si="31" ref="H57:H76">-D57*$E$26*(1-$E$30)/$E$27/$E$31</f>
        <v>0.2224297407938166</v>
      </c>
      <c r="I57" s="31">
        <f aca="true" t="shared" si="32" ref="I57:I76">E57*$E$26*(1-$E$30)/$E$27/$E$31</f>
        <v>0.425571371564105</v>
      </c>
      <c r="J57" s="31">
        <f aca="true" t="shared" si="33" ref="J57:J76">E57*E$26/E$27</f>
        <v>1.7021969205305734</v>
      </c>
      <c r="K57" s="31">
        <f aca="true" t="shared" si="34" ref="K57:K76">E$33*E$13/120*E$5*F57^2/E$6*E$3*E$8*(E$8-1)/E$4</f>
        <v>16.226225032268495</v>
      </c>
      <c r="L57" s="31">
        <f aca="true" t="shared" si="35" ref="L57:L76">E$33*E$13/6*F57^2*E$3/E$7/E$4*SQRT(E$5^2+16*E$3^2)*(1+(G57*E$3/F57)^2/15)</f>
        <v>353.4569202671993</v>
      </c>
      <c r="M57" s="31">
        <f aca="true" t="shared" si="36" ref="M57:M76">E$34*E$13*H57^2/8*E$4/E$7/E$3*SQRT(E$5^2+16*E$3^2)</f>
        <v>0.6329680280738059</v>
      </c>
      <c r="N57" s="31">
        <f aca="true" t="shared" si="37" ref="N57:N76">E$33*2*E$13*E$14*I57^2/E$12*E$19</f>
        <v>493.00205993913244</v>
      </c>
      <c r="O57" s="31">
        <f aca="true" t="shared" si="38" ref="O57:O76">(X57+AC57+Y57+AD57+Z57+AE57+AA57+AF57+AB57+AG57)/5</f>
        <v>1463.5235599211242</v>
      </c>
      <c r="P57" s="31">
        <f aca="true" t="shared" si="39" ref="P57:P76">SUM(K57:O57)</f>
        <v>2326.841733187798</v>
      </c>
      <c r="Q57" s="4">
        <f>P57*J$31*(A58-A57)</f>
        <v>0.016853446445204808</v>
      </c>
      <c r="R57" s="25"/>
      <c r="S57" s="28">
        <f aca="true" t="shared" si="40" ref="S57:S76">SQRT(($B57-$C57*0.8*$E$3)^2+$D57^2)*$E$26/$E$27</f>
        <v>3.199995676926087</v>
      </c>
      <c r="T57" s="28">
        <f aca="true" t="shared" si="41" ref="T57:T76">SQRT(($B57-$C57*0.4*$E$3)^2+$D57^2)*$E$26/$E$27</f>
        <v>2.4311481414467946</v>
      </c>
      <c r="U57" s="28">
        <f aca="true" t="shared" si="42" ref="U57:U76">SQRT(($B57)^2+$D57^2)*$E$26/$E$27</f>
        <v>1.7021969205305734</v>
      </c>
      <c r="V57" s="28">
        <f aca="true" t="shared" si="43" ref="V57:V76">SQRT(($B57+$C57*0.4*$E$3)^2+$D57^2)*$E$26/$E$27</f>
        <v>1.0958793474449342</v>
      </c>
      <c r="W57" s="28">
        <f aca="true" t="shared" si="44" ref="W57:W76">SQRT(($B57+$C57*0.8*$E$3)^2+$D57^2)*$E$26/$E$27</f>
        <v>0.9060424103417609</v>
      </c>
      <c r="X57" s="28">
        <f aca="true" t="shared" si="45" ref="X57:X76">$E$35*$E$13*$E$14*$E$16/$E$31*2/3*$E$20/PI()*($E$21*$E$22*LN((S57+$E$22)/($E$30*S57+$E$22))+$E$23*S57*(1-$E$30)+$E$24*S57^2/2*(1-$E$30^2))</f>
        <v>1915.874767481415</v>
      </c>
      <c r="Y57" s="28">
        <f aca="true" t="shared" si="46" ref="Y57:Y76">$E$35*$E$13*$E$14*$E$16/$E$31*2/3*$E$20/PI()*($E$21*$E$22*LN((T57+$E$22)/($E$30*T57+$E$22))+$E$23*T57*(1-$E$30)+$E$24*T57^2/2*(1-$E$30^2))</f>
        <v>1676.5752967514268</v>
      </c>
      <c r="Z57" s="28">
        <f aca="true" t="shared" si="47" ref="Z57:Z76">$E$35*$E$13*$E$14*$E$16/$E$31*2/3*$E$20/PI()*($E$21*$E$22*LN((U57+$E$22)/($E$30*U57+$E$22))+$E$23*U57*(1-$E$30)+$E$24*U57^2/2*(1-$E$30^2))</f>
        <v>1396.780634993587</v>
      </c>
      <c r="AA57" s="28">
        <f aca="true" t="shared" si="48" ref="AA57:AA76">$E$35*$E$13*$E$14*$E$16/$E$31*2/3*$E$20/PI()*($E$21*$E$22*LN((V57+$E$22)/($E$30*V57+$E$22))+$E$23*V57*(1-$E$30)+$E$24*V57^2/2*(1-$E$30^2))</f>
        <v>1103.82612758465</v>
      </c>
      <c r="AB57" s="28">
        <f aca="true" t="shared" si="49" ref="AB57:AB76">$E$35*$E$13*$E$14*$E$16/$E$31*2/3*$E$20/PI()*($E$21*$E$22*LN((W57+$E$22)/($E$30*W57+$E$22))+$E$23*W57*(1-$E$30)+$E$24*W57^2/2*(1-$E$30^2))</f>
        <v>994.0021810661722</v>
      </c>
      <c r="AC57" s="28">
        <f aca="true" t="shared" si="50" ref="AC57:AC76">1/18/PI()*$E$20/$E$31*S57*$E$25^2*(3*S57+4*$G$22)/($G$21*$G$22*16*$E$13*$E$14*$E$16*$E$3^2*$E$4^2)</f>
        <v>102.32407305726656</v>
      </c>
      <c r="AD57" s="28">
        <f aca="true" t="shared" si="51" ref="AD57:AD76">1/18/PI()*$E$20/$E$31*T57*$E$25^2*(3*T57+4*$G$22)/($G$21*$G$22*16*$E$13*$E$14*$E$16*$E$3^2*$E$4^2)</f>
        <v>63.311347090068224</v>
      </c>
      <c r="AE57" s="28">
        <f aca="true" t="shared" si="52" ref="AE57:AE76">1/18/PI()*$E$20/$E$31*U57*$E$25^2*(3*U57+4*$G$22)/($G$21*$G$22*16*$E$13*$E$14*$E$16*$E$3^2*$E$4^2)</f>
        <v>34.75057290880431</v>
      </c>
      <c r="AF57" s="28">
        <f aca="true" t="shared" si="53" ref="AF57:AF76">1/18/PI()*$E$20/$E$31*V57*$E$25^2*(3*V57+4*$G$22)/($G$21*$G$22*16*$E$13*$E$14*$E$16*$E$3^2*$E$4^2)</f>
        <v>17.24376724308949</v>
      </c>
      <c r="AG57" s="28">
        <f aca="true" t="shared" si="54" ref="AG57:AG76">1/18/PI()*$E$20/$E$31*W57*$E$25^2*(3*W57+4*$G$22)/($G$21*$G$22*16*$E$13*$E$14*$E$16*$E$3^2*$E$4^2)</f>
        <v>12.929031429141293</v>
      </c>
      <c r="AH57" s="25"/>
      <c r="BX57" s="2"/>
    </row>
    <row r="58" spans="1:76" ht="16.5">
      <c r="A58" s="19">
        <v>18</v>
      </c>
      <c r="B58" s="15">
        <v>-0.7688376834784396</v>
      </c>
      <c r="C58" s="11">
        <v>227.4487999096361</v>
      </c>
      <c r="D58" s="4">
        <v>-0.4725847095030641</v>
      </c>
      <c r="E58" s="31">
        <f t="shared" si="28"/>
        <v>0.9024675568642835</v>
      </c>
      <c r="F58" s="31">
        <f t="shared" si="29"/>
        <v>0.36240286753638445</v>
      </c>
      <c r="G58" s="31">
        <f t="shared" si="30"/>
        <v>107.2113127078181</v>
      </c>
      <c r="H58" s="31">
        <f t="shared" si="31"/>
        <v>0.22275970280606364</v>
      </c>
      <c r="I58" s="31">
        <f t="shared" si="32"/>
        <v>0.4253912594222406</v>
      </c>
      <c r="J58" s="31">
        <f t="shared" si="33"/>
        <v>1.701476509446282</v>
      </c>
      <c r="K58" s="31">
        <f t="shared" si="34"/>
        <v>16.189225020964894</v>
      </c>
      <c r="L58" s="31">
        <f t="shared" si="35"/>
        <v>355.1031030144046</v>
      </c>
      <c r="M58" s="31">
        <f t="shared" si="36"/>
        <v>0.6348473659367103</v>
      </c>
      <c r="N58" s="31">
        <f t="shared" si="37"/>
        <v>492.5848473508258</v>
      </c>
      <c r="O58" s="31">
        <f t="shared" si="38"/>
        <v>1467.8983261362293</v>
      </c>
      <c r="P58" s="31">
        <f t="shared" si="39"/>
        <v>2332.410348888361</v>
      </c>
      <c r="Q58" s="4">
        <f aca="true" t="shared" si="55" ref="Q58:Q75">P58*J$31</f>
        <v>0.01840007363795246</v>
      </c>
      <c r="R58" s="25"/>
      <c r="S58" s="28">
        <f t="shared" si="40"/>
        <v>3.243301237142289</v>
      </c>
      <c r="T58" s="28">
        <f t="shared" si="41"/>
        <v>2.4516606594325556</v>
      </c>
      <c r="U58" s="28">
        <f t="shared" si="42"/>
        <v>1.701476509446282</v>
      </c>
      <c r="V58" s="28">
        <f t="shared" si="43"/>
        <v>1.0826587109580716</v>
      </c>
      <c r="W58" s="28">
        <f t="shared" si="44"/>
        <v>0.9176179519042457</v>
      </c>
      <c r="X58" s="28">
        <f t="shared" si="45"/>
        <v>1927.968958448768</v>
      </c>
      <c r="Y58" s="28">
        <f t="shared" si="46"/>
        <v>1683.620165697327</v>
      </c>
      <c r="Z58" s="28">
        <f t="shared" si="47"/>
        <v>1396.4712886147631</v>
      </c>
      <c r="AA58" s="28">
        <f t="shared" si="48"/>
        <v>1096.534587325759</v>
      </c>
      <c r="AB58" s="28">
        <f t="shared" si="49"/>
        <v>1001.0421131317074</v>
      </c>
      <c r="AC58" s="28">
        <f t="shared" si="50"/>
        <v>104.79295153562252</v>
      </c>
      <c r="AD58" s="28">
        <f t="shared" si="51"/>
        <v>64.2337045048585</v>
      </c>
      <c r="AE58" s="28">
        <f t="shared" si="52"/>
        <v>34.72640422591197</v>
      </c>
      <c r="AF58" s="28">
        <f t="shared" si="53"/>
        <v>16.925256921452597</v>
      </c>
      <c r="AG58" s="28">
        <f t="shared" si="54"/>
        <v>13.176200274976841</v>
      </c>
      <c r="AH58" s="25"/>
      <c r="BX58" s="2"/>
    </row>
    <row r="59" spans="1:76" ht="16.5">
      <c r="A59" s="19">
        <v>19</v>
      </c>
      <c r="B59" s="15">
        <v>-0.7670354695833996</v>
      </c>
      <c r="C59" s="11">
        <v>231.74178888809186</v>
      </c>
      <c r="D59" s="4">
        <v>-0.5261554631417936</v>
      </c>
      <c r="E59" s="31">
        <f t="shared" si="28"/>
        <v>0.9301521289514859</v>
      </c>
      <c r="F59" s="31">
        <f t="shared" si="29"/>
        <v>0.36155336770369995</v>
      </c>
      <c r="G59" s="31">
        <f t="shared" si="30"/>
        <v>109.23487574267823</v>
      </c>
      <c r="H59" s="31">
        <f t="shared" si="31"/>
        <v>0.24801105969445844</v>
      </c>
      <c r="I59" s="31">
        <f t="shared" si="32"/>
        <v>0.4384407866846504</v>
      </c>
      <c r="J59" s="31">
        <f t="shared" si="33"/>
        <v>1.7536719027567265</v>
      </c>
      <c r="K59" s="31">
        <f t="shared" si="34"/>
        <v>16.113416430916637</v>
      </c>
      <c r="L59" s="31">
        <f t="shared" si="35"/>
        <v>355.2838936797301</v>
      </c>
      <c r="M59" s="31">
        <f t="shared" si="36"/>
        <v>0.7869337257833173</v>
      </c>
      <c r="N59" s="31">
        <f t="shared" si="37"/>
        <v>523.2699806467424</v>
      </c>
      <c r="O59" s="31">
        <f t="shared" si="38"/>
        <v>1501.7289997075898</v>
      </c>
      <c r="P59" s="31">
        <f t="shared" si="39"/>
        <v>2397.1832241907623</v>
      </c>
      <c r="Q59" s="4">
        <f t="shared" si="55"/>
        <v>0.018911058197712334</v>
      </c>
      <c r="R59" s="25"/>
      <c r="S59" s="28">
        <f t="shared" si="40"/>
        <v>3.2992811452946884</v>
      </c>
      <c r="T59" s="28">
        <f t="shared" si="41"/>
        <v>2.501480060424508</v>
      </c>
      <c r="U59" s="28">
        <f t="shared" si="42"/>
        <v>1.7536719027567265</v>
      </c>
      <c r="V59" s="28">
        <f t="shared" si="43"/>
        <v>1.1572139063924272</v>
      </c>
      <c r="W59" s="28">
        <f t="shared" si="44"/>
        <v>1.0240796553932083</v>
      </c>
      <c r="X59" s="28">
        <f t="shared" si="45"/>
        <v>1943.4020702531996</v>
      </c>
      <c r="Y59" s="28">
        <f t="shared" si="46"/>
        <v>1700.565833260301</v>
      </c>
      <c r="Z59" s="28">
        <f t="shared" si="47"/>
        <v>1418.6899381321455</v>
      </c>
      <c r="AA59" s="28">
        <f t="shared" si="48"/>
        <v>1137.0357465547072</v>
      </c>
      <c r="AB59" s="28">
        <f t="shared" si="49"/>
        <v>1063.621808824883</v>
      </c>
      <c r="AC59" s="28">
        <f t="shared" si="50"/>
        <v>108.02730386356613</v>
      </c>
      <c r="AD59" s="28">
        <f t="shared" si="51"/>
        <v>66.5009089227356</v>
      </c>
      <c r="AE59" s="28">
        <f t="shared" si="52"/>
        <v>36.4982178196303</v>
      </c>
      <c r="AF59" s="28">
        <f t="shared" si="53"/>
        <v>18.756730159163027</v>
      </c>
      <c r="AG59" s="28">
        <f t="shared" si="54"/>
        <v>15.54644074761675</v>
      </c>
      <c r="AH59" s="25"/>
      <c r="BX59" s="2"/>
    </row>
    <row r="60" spans="1:76" ht="16.5">
      <c r="A60" s="19">
        <v>20</v>
      </c>
      <c r="B60" s="15">
        <v>-0.7645686420397677</v>
      </c>
      <c r="C60" s="11">
        <v>234.49299316708385</v>
      </c>
      <c r="D60" s="4">
        <v>-0.5768430116951416</v>
      </c>
      <c r="E60" s="31">
        <f t="shared" si="28"/>
        <v>0.9577646206307977</v>
      </c>
      <c r="F60" s="31">
        <f t="shared" si="29"/>
        <v>0.36039059252404787</v>
      </c>
      <c r="G60" s="31">
        <f t="shared" si="30"/>
        <v>110.53169604859008</v>
      </c>
      <c r="H60" s="31">
        <f t="shared" si="31"/>
        <v>0.27190337576956947</v>
      </c>
      <c r="I60" s="31">
        <f t="shared" si="32"/>
        <v>0.45145633779438965</v>
      </c>
      <c r="J60" s="31">
        <f t="shared" si="33"/>
        <v>1.8057313985272712</v>
      </c>
      <c r="K60" s="31">
        <f t="shared" si="34"/>
        <v>16.00993985506174</v>
      </c>
      <c r="L60" s="31">
        <f t="shared" si="35"/>
        <v>354.3579233073023</v>
      </c>
      <c r="M60" s="31">
        <f t="shared" si="36"/>
        <v>0.9458565190269288</v>
      </c>
      <c r="N60" s="31">
        <f t="shared" si="37"/>
        <v>554.7986969846199</v>
      </c>
      <c r="O60" s="31">
        <f t="shared" si="38"/>
        <v>1532.585416657127</v>
      </c>
      <c r="P60" s="31">
        <f t="shared" si="39"/>
        <v>2458.697833323138</v>
      </c>
      <c r="Q60" s="4">
        <f t="shared" si="55"/>
        <v>0.019396338730953422</v>
      </c>
      <c r="R60" s="25"/>
      <c r="S60" s="28">
        <f t="shared" si="40"/>
        <v>3.3439506730650437</v>
      </c>
      <c r="T60" s="28">
        <f t="shared" si="41"/>
        <v>2.5458125369607187</v>
      </c>
      <c r="U60" s="28">
        <f t="shared" si="42"/>
        <v>1.8057313985272712</v>
      </c>
      <c r="V60" s="28">
        <f t="shared" si="43"/>
        <v>1.2330934006533345</v>
      </c>
      <c r="W60" s="28">
        <f t="shared" si="44"/>
        <v>1.122818697149733</v>
      </c>
      <c r="X60" s="28">
        <f t="shared" si="45"/>
        <v>1955.5565935793968</v>
      </c>
      <c r="Y60" s="28">
        <f t="shared" si="46"/>
        <v>1715.4524539282986</v>
      </c>
      <c r="Z60" s="28">
        <f t="shared" si="47"/>
        <v>1440.4685735371343</v>
      </c>
      <c r="AA60" s="28">
        <f t="shared" si="48"/>
        <v>1176.8032468528256</v>
      </c>
      <c r="AB60" s="28">
        <f t="shared" si="49"/>
        <v>1118.5354115678915</v>
      </c>
      <c r="AC60" s="28">
        <f t="shared" si="50"/>
        <v>110.64287947260077</v>
      </c>
      <c r="AD60" s="28">
        <f t="shared" si="51"/>
        <v>68.55062993220828</v>
      </c>
      <c r="AE60" s="28">
        <f t="shared" si="52"/>
        <v>38.30731163289379</v>
      </c>
      <c r="AF60" s="28">
        <f t="shared" si="53"/>
        <v>20.708844450320452</v>
      </c>
      <c r="AG60" s="28">
        <f t="shared" si="54"/>
        <v>17.90113833206435</v>
      </c>
      <c r="AH60" s="25"/>
      <c r="BX60" s="2"/>
    </row>
    <row r="61" spans="1:76" ht="16.5">
      <c r="A61" s="19">
        <v>21</v>
      </c>
      <c r="B61" s="15">
        <v>-0.7616067160810989</v>
      </c>
      <c r="C61" s="11">
        <v>236.30574107714503</v>
      </c>
      <c r="D61" s="4">
        <v>-0.62632377474028</v>
      </c>
      <c r="E61" s="31">
        <f t="shared" si="28"/>
        <v>0.986066052952209</v>
      </c>
      <c r="F61" s="31">
        <f t="shared" si="29"/>
        <v>0.3589944454777746</v>
      </c>
      <c r="G61" s="31">
        <f t="shared" si="30"/>
        <v>111.38616124305682</v>
      </c>
      <c r="H61" s="31">
        <f t="shared" si="31"/>
        <v>0.2952268558756917</v>
      </c>
      <c r="I61" s="31">
        <f t="shared" si="32"/>
        <v>0.464796631134673</v>
      </c>
      <c r="J61" s="31">
        <f t="shared" si="33"/>
        <v>1.8590897956378352</v>
      </c>
      <c r="K61" s="31">
        <f t="shared" si="34"/>
        <v>15.886135656939413</v>
      </c>
      <c r="L61" s="31">
        <f t="shared" si="35"/>
        <v>352.68264963894035</v>
      </c>
      <c r="M61" s="31">
        <f t="shared" si="36"/>
        <v>1.1150845156344225</v>
      </c>
      <c r="N61" s="31">
        <f t="shared" si="37"/>
        <v>588.0711406309317</v>
      </c>
      <c r="O61" s="31">
        <f t="shared" si="38"/>
        <v>1561.936460179967</v>
      </c>
      <c r="P61" s="31">
        <f t="shared" si="39"/>
        <v>2519.691470622413</v>
      </c>
      <c r="Q61" s="4">
        <f t="shared" si="55"/>
        <v>0.019877509387003764</v>
      </c>
      <c r="R61" s="25"/>
      <c r="S61" s="28">
        <f t="shared" si="40"/>
        <v>3.3826749188633687</v>
      </c>
      <c r="T61" s="28">
        <f t="shared" si="41"/>
        <v>2.5879894989375916</v>
      </c>
      <c r="U61" s="28">
        <f t="shared" si="42"/>
        <v>1.8590897956378352</v>
      </c>
      <c r="V61" s="28">
        <f t="shared" si="43"/>
        <v>1.3107498890359452</v>
      </c>
      <c r="W61" s="28">
        <f t="shared" si="44"/>
        <v>1.2178837615718054</v>
      </c>
      <c r="X61" s="28">
        <f t="shared" si="45"/>
        <v>1965.979474568825</v>
      </c>
      <c r="Y61" s="28">
        <f t="shared" si="46"/>
        <v>1729.4499434750544</v>
      </c>
      <c r="Z61" s="28">
        <f t="shared" si="47"/>
        <v>1462.4095158842765</v>
      </c>
      <c r="AA61" s="28">
        <f t="shared" si="48"/>
        <v>1216.1222849616659</v>
      </c>
      <c r="AB61" s="28">
        <f t="shared" si="49"/>
        <v>1168.9428682094938</v>
      </c>
      <c r="AC61" s="28">
        <f t="shared" si="50"/>
        <v>112.93526230285448</v>
      </c>
      <c r="AD61" s="28">
        <f t="shared" si="51"/>
        <v>70.52885385880494</v>
      </c>
      <c r="AE61" s="28">
        <f t="shared" si="52"/>
        <v>40.20496054315745</v>
      </c>
      <c r="AF61" s="28">
        <f t="shared" si="53"/>
        <v>22.798706157956598</v>
      </c>
      <c r="AG61" s="28">
        <f t="shared" si="54"/>
        <v>20.310430937745686</v>
      </c>
      <c r="AH61" s="25"/>
      <c r="BX61" s="2"/>
    </row>
    <row r="62" spans="1:76" ht="16.5">
      <c r="A62" s="19">
        <v>22</v>
      </c>
      <c r="B62" s="15">
        <v>-0.7579205845403099</v>
      </c>
      <c r="C62" s="11">
        <v>237.4021344915991</v>
      </c>
      <c r="D62" s="4">
        <v>-0.6748782498644672</v>
      </c>
      <c r="E62" s="31">
        <f t="shared" si="28"/>
        <v>1.0148419899718633</v>
      </c>
      <c r="F62" s="31">
        <f t="shared" si="29"/>
        <v>0.3572569335565919</v>
      </c>
      <c r="G62" s="31">
        <f t="shared" si="30"/>
        <v>111.90296228687205</v>
      </c>
      <c r="H62" s="31">
        <f t="shared" si="31"/>
        <v>0.3181137166459897</v>
      </c>
      <c r="I62" s="31">
        <f t="shared" si="32"/>
        <v>0.4783605891924879</v>
      </c>
      <c r="J62" s="31">
        <f t="shared" si="33"/>
        <v>1.9133428050716252</v>
      </c>
      <c r="K62" s="31">
        <f t="shared" si="34"/>
        <v>15.732731872786584</v>
      </c>
      <c r="L62" s="31">
        <f t="shared" si="35"/>
        <v>350.1586623866293</v>
      </c>
      <c r="M62" s="31">
        <f t="shared" si="36"/>
        <v>1.2946752739559937</v>
      </c>
      <c r="N62" s="31">
        <f t="shared" si="37"/>
        <v>622.8948039941635</v>
      </c>
      <c r="O62" s="31">
        <f t="shared" si="38"/>
        <v>1590.0116110932936</v>
      </c>
      <c r="P62" s="31">
        <f t="shared" si="39"/>
        <v>2580.092484620829</v>
      </c>
      <c r="Q62" s="4">
        <f t="shared" si="55"/>
        <v>0.020354004917006684</v>
      </c>
      <c r="R62" s="25"/>
      <c r="S62" s="28">
        <f t="shared" si="40"/>
        <v>3.4167252421486647</v>
      </c>
      <c r="T62" s="28">
        <f t="shared" si="41"/>
        <v>2.6284581505497924</v>
      </c>
      <c r="U62" s="28">
        <f t="shared" si="42"/>
        <v>1.9133428050716252</v>
      </c>
      <c r="V62" s="28">
        <f t="shared" si="43"/>
        <v>1.3893439825755947</v>
      </c>
      <c r="W62" s="28">
        <f t="shared" si="44"/>
        <v>1.310335943867302</v>
      </c>
      <c r="X62" s="28">
        <f t="shared" si="45"/>
        <v>1975.057715782556</v>
      </c>
      <c r="Y62" s="28">
        <f t="shared" si="46"/>
        <v>1742.731499527014</v>
      </c>
      <c r="Z62" s="28">
        <f t="shared" si="47"/>
        <v>1484.3373155837678</v>
      </c>
      <c r="AA62" s="28">
        <f t="shared" si="48"/>
        <v>1254.617091525772</v>
      </c>
      <c r="AB62" s="28">
        <f t="shared" si="49"/>
        <v>1215.9161778637053</v>
      </c>
      <c r="AC62" s="28">
        <f t="shared" si="50"/>
        <v>114.97008721578568</v>
      </c>
      <c r="AD62" s="28">
        <f t="shared" si="51"/>
        <v>72.452768899984</v>
      </c>
      <c r="AE62" s="28">
        <f t="shared" si="52"/>
        <v>42.179489762713565</v>
      </c>
      <c r="AF62" s="28">
        <f t="shared" si="53"/>
        <v>25.00858988300784</v>
      </c>
      <c r="AG62" s="28">
        <f t="shared" si="54"/>
        <v>22.787319422162053</v>
      </c>
      <c r="AH62" s="25"/>
      <c r="BX62" s="2"/>
    </row>
    <row r="63" spans="1:76" ht="16.5">
      <c r="A63" s="19">
        <v>23</v>
      </c>
      <c r="B63" s="15">
        <v>-0.7536309780371777</v>
      </c>
      <c r="C63" s="11">
        <v>237.89539745988625</v>
      </c>
      <c r="D63" s="4">
        <v>-0.7229495947682708</v>
      </c>
      <c r="E63" s="31">
        <f t="shared" si="28"/>
        <v>1.044325508466053</v>
      </c>
      <c r="F63" s="31">
        <f t="shared" si="29"/>
        <v>0.3552349649008615</v>
      </c>
      <c r="G63" s="31">
        <f t="shared" si="30"/>
        <v>112.1354689888693</v>
      </c>
      <c r="H63" s="31">
        <f t="shared" si="31"/>
        <v>0.3407728469329582</v>
      </c>
      <c r="I63" s="31">
        <f t="shared" si="32"/>
        <v>0.4922580761093815</v>
      </c>
      <c r="J63" s="31">
        <f t="shared" si="33"/>
        <v>1.968929860530986</v>
      </c>
      <c r="K63" s="31">
        <f t="shared" si="34"/>
        <v>15.555150602555145</v>
      </c>
      <c r="L63" s="31">
        <f t="shared" si="35"/>
        <v>346.9313943888913</v>
      </c>
      <c r="M63" s="31">
        <f t="shared" si="36"/>
        <v>1.4856825671608547</v>
      </c>
      <c r="N63" s="31">
        <f t="shared" si="37"/>
        <v>659.613634156416</v>
      </c>
      <c r="O63" s="31">
        <f t="shared" si="38"/>
        <v>1617.2137572501051</v>
      </c>
      <c r="P63" s="31">
        <f t="shared" si="39"/>
        <v>2640.7996189651285</v>
      </c>
      <c r="Q63" s="4">
        <f t="shared" si="55"/>
        <v>0.020832915389521332</v>
      </c>
      <c r="R63" s="25"/>
      <c r="S63" s="28">
        <f t="shared" si="40"/>
        <v>3.4473972212881936</v>
      </c>
      <c r="T63" s="28">
        <f t="shared" si="41"/>
        <v>2.6681091708091564</v>
      </c>
      <c r="U63" s="28">
        <f t="shared" si="42"/>
        <v>1.968929860530986</v>
      </c>
      <c r="V63" s="28">
        <f t="shared" si="43"/>
        <v>1.4690753371932617</v>
      </c>
      <c r="W63" s="28">
        <f t="shared" si="44"/>
        <v>1.4011777900511788</v>
      </c>
      <c r="X63" s="28">
        <f t="shared" si="45"/>
        <v>1983.1664036736427</v>
      </c>
      <c r="Y63" s="28">
        <f t="shared" si="46"/>
        <v>1755.605427831246</v>
      </c>
      <c r="Z63" s="28">
        <f t="shared" si="47"/>
        <v>1506.4201580465278</v>
      </c>
      <c r="AA63" s="28">
        <f t="shared" si="48"/>
        <v>1292.4421549119518</v>
      </c>
      <c r="AB63" s="28">
        <f t="shared" si="49"/>
        <v>1260.3067822642986</v>
      </c>
      <c r="AC63" s="28">
        <f t="shared" si="50"/>
        <v>116.81834753557825</v>
      </c>
      <c r="AD63" s="28">
        <f t="shared" si="51"/>
        <v>74.36233427208415</v>
      </c>
      <c r="AE63" s="28">
        <f t="shared" si="52"/>
        <v>44.2496998346351</v>
      </c>
      <c r="AF63" s="28">
        <f t="shared" si="53"/>
        <v>27.347888842744187</v>
      </c>
      <c r="AG63" s="28">
        <f t="shared" si="54"/>
        <v>25.349589037817257</v>
      </c>
      <c r="AH63" s="25"/>
      <c r="BX63" s="2"/>
    </row>
    <row r="64" spans="1:76" ht="16.5">
      <c r="A64" s="19">
        <v>24</v>
      </c>
      <c r="B64" s="15">
        <v>-0.7488749448917655</v>
      </c>
      <c r="C64" s="11">
        <v>237.88242897712766</v>
      </c>
      <c r="D64" s="4">
        <v>-0.770882918956559</v>
      </c>
      <c r="E64" s="31">
        <f t="shared" si="28"/>
        <v>1.074743763799367</v>
      </c>
      <c r="F64" s="31">
        <f t="shared" si="29"/>
        <v>0.35299313923722153</v>
      </c>
      <c r="G64" s="31">
        <f t="shared" si="30"/>
        <v>112.12935610517447</v>
      </c>
      <c r="H64" s="31">
        <f t="shared" si="31"/>
        <v>0.36336691914049446</v>
      </c>
      <c r="I64" s="31">
        <f t="shared" si="32"/>
        <v>0.5065961648830388</v>
      </c>
      <c r="J64" s="31">
        <f t="shared" si="33"/>
        <v>2.0262792317236795</v>
      </c>
      <c r="K64" s="31">
        <f t="shared" si="34"/>
        <v>15.359438446282716</v>
      </c>
      <c r="L64" s="31">
        <f t="shared" si="35"/>
        <v>343.15428423660046</v>
      </c>
      <c r="M64" s="31">
        <f t="shared" si="36"/>
        <v>1.6892224154134163</v>
      </c>
      <c r="N64" s="31">
        <f t="shared" si="37"/>
        <v>698.5986133477528</v>
      </c>
      <c r="O64" s="31">
        <f t="shared" si="38"/>
        <v>1643.8783803348392</v>
      </c>
      <c r="P64" s="31">
        <f t="shared" si="39"/>
        <v>2702.6799387808887</v>
      </c>
      <c r="Q64" s="4">
        <f t="shared" si="55"/>
        <v>0.021321080965485573</v>
      </c>
      <c r="R64" s="25"/>
      <c r="S64" s="28">
        <f t="shared" si="40"/>
        <v>3.475883163237617</v>
      </c>
      <c r="T64" s="28">
        <f t="shared" si="41"/>
        <v>2.707777510969517</v>
      </c>
      <c r="U64" s="28">
        <f t="shared" si="42"/>
        <v>2.0262792317236795</v>
      </c>
      <c r="V64" s="28">
        <f t="shared" si="43"/>
        <v>1.5501642469383798</v>
      </c>
      <c r="W64" s="28">
        <f t="shared" si="44"/>
        <v>1.4911955108657828</v>
      </c>
      <c r="X64" s="28">
        <f t="shared" si="45"/>
        <v>1990.6391419831214</v>
      </c>
      <c r="Y64" s="28">
        <f t="shared" si="46"/>
        <v>1768.3490940514505</v>
      </c>
      <c r="Z64" s="28">
        <f t="shared" si="47"/>
        <v>1528.8099546893316</v>
      </c>
      <c r="AA64" s="28">
        <f t="shared" si="48"/>
        <v>1329.7411446057263</v>
      </c>
      <c r="AB64" s="28">
        <f t="shared" si="49"/>
        <v>1302.7301656057207</v>
      </c>
      <c r="AC64" s="28">
        <f t="shared" si="50"/>
        <v>118.54788707287626</v>
      </c>
      <c r="AD64" s="28">
        <f t="shared" si="51"/>
        <v>76.2970206606469</v>
      </c>
      <c r="AE64" s="28">
        <f t="shared" si="52"/>
        <v>46.43553651630546</v>
      </c>
      <c r="AF64" s="28">
        <f t="shared" si="53"/>
        <v>29.827676801852164</v>
      </c>
      <c r="AG64" s="28">
        <f t="shared" si="54"/>
        <v>28.014279687164358</v>
      </c>
      <c r="AH64" s="25"/>
      <c r="BX64" s="2"/>
    </row>
    <row r="65" spans="1:76" ht="16.5">
      <c r="A65" s="19">
        <v>25</v>
      </c>
      <c r="B65" s="15">
        <v>-0.7435059454395301</v>
      </c>
      <c r="C65" s="11">
        <v>237.38808390302393</v>
      </c>
      <c r="D65" s="4">
        <v>-0.8189315282179058</v>
      </c>
      <c r="E65" s="31">
        <f t="shared" si="28"/>
        <v>1.1060967131373476</v>
      </c>
      <c r="F65" s="31">
        <f t="shared" si="29"/>
        <v>0.3504623829552345</v>
      </c>
      <c r="G65" s="31">
        <f t="shared" si="30"/>
        <v>111.89633933680128</v>
      </c>
      <c r="H65" s="31">
        <f t="shared" si="31"/>
        <v>0.38601533265043875</v>
      </c>
      <c r="I65" s="31">
        <f t="shared" si="32"/>
        <v>0.5213748353228128</v>
      </c>
      <c r="J65" s="31">
        <f t="shared" si="33"/>
        <v>2.085390837891319</v>
      </c>
      <c r="K65" s="31">
        <f t="shared" si="34"/>
        <v>15.139991381888297</v>
      </c>
      <c r="L65" s="31">
        <f t="shared" si="35"/>
        <v>338.729185976046</v>
      </c>
      <c r="M65" s="31">
        <f t="shared" si="36"/>
        <v>1.906361124315372</v>
      </c>
      <c r="N65" s="31">
        <f t="shared" si="37"/>
        <v>739.9528636016381</v>
      </c>
      <c r="O65" s="31">
        <f t="shared" si="38"/>
        <v>1670.1315677195478</v>
      </c>
      <c r="P65" s="31">
        <f t="shared" si="39"/>
        <v>2765.859969803436</v>
      </c>
      <c r="Q65" s="4">
        <f t="shared" si="55"/>
        <v>0.021819499789521853</v>
      </c>
      <c r="R65" s="25"/>
      <c r="S65" s="28">
        <f t="shared" si="40"/>
        <v>3.502378144214675</v>
      </c>
      <c r="T65" s="28">
        <f t="shared" si="41"/>
        <v>2.747578901307354</v>
      </c>
      <c r="U65" s="28">
        <f t="shared" si="42"/>
        <v>2.085390837891319</v>
      </c>
      <c r="V65" s="28">
        <f t="shared" si="43"/>
        <v>1.6326812452612491</v>
      </c>
      <c r="W65" s="28">
        <f t="shared" si="44"/>
        <v>1.581002569419044</v>
      </c>
      <c r="X65" s="28">
        <f t="shared" si="45"/>
        <v>1997.5397429088387</v>
      </c>
      <c r="Y65" s="28">
        <f t="shared" si="46"/>
        <v>1781.0008858975254</v>
      </c>
      <c r="Z65" s="28">
        <f t="shared" si="47"/>
        <v>1551.484337179851</v>
      </c>
      <c r="AA65" s="28">
        <f t="shared" si="48"/>
        <v>1366.5736118686602</v>
      </c>
      <c r="AB65" s="28">
        <f t="shared" si="49"/>
        <v>1343.6344522616746</v>
      </c>
      <c r="AC65" s="28">
        <f t="shared" si="50"/>
        <v>120.16778842195832</v>
      </c>
      <c r="AD65" s="28">
        <f t="shared" si="51"/>
        <v>78.26261067087874</v>
      </c>
      <c r="AE65" s="28">
        <f t="shared" si="52"/>
        <v>48.74167733868905</v>
      </c>
      <c r="AF65" s="28">
        <f t="shared" si="53"/>
        <v>32.45534293556759</v>
      </c>
      <c r="AG65" s="28">
        <f t="shared" si="54"/>
        <v>30.797389114095655</v>
      </c>
      <c r="AH65" s="25"/>
      <c r="BX65" s="2"/>
    </row>
    <row r="66" spans="1:76" ht="16.5">
      <c r="A66" s="19">
        <v>26</v>
      </c>
      <c r="B66" s="15">
        <v>-0.7379026729240881</v>
      </c>
      <c r="C66" s="11">
        <v>236.44602626135057</v>
      </c>
      <c r="D66" s="4">
        <v>-0.8674766866019769</v>
      </c>
      <c r="E66" s="31">
        <f t="shared" si="28"/>
        <v>1.1388661714646098</v>
      </c>
      <c r="F66" s="31">
        <f t="shared" si="29"/>
        <v>0.34782119864439687</v>
      </c>
      <c r="G66" s="31">
        <f t="shared" si="30"/>
        <v>111.45228671286851</v>
      </c>
      <c r="H66" s="31">
        <f t="shared" si="31"/>
        <v>0.4088978018392538</v>
      </c>
      <c r="I66" s="31">
        <f t="shared" si="32"/>
        <v>0.5368211979564504</v>
      </c>
      <c r="J66" s="31">
        <f t="shared" si="33"/>
        <v>2.147173073880884</v>
      </c>
      <c r="K66" s="31">
        <f t="shared" si="34"/>
        <v>14.912652694375172</v>
      </c>
      <c r="L66" s="31">
        <f t="shared" si="35"/>
        <v>333.9758953210672</v>
      </c>
      <c r="M66" s="31">
        <f t="shared" si="36"/>
        <v>2.1390730401651203</v>
      </c>
      <c r="N66" s="31">
        <f t="shared" si="37"/>
        <v>784.4463338446775</v>
      </c>
      <c r="O66" s="31">
        <f t="shared" si="38"/>
        <v>1696.3668235246562</v>
      </c>
      <c r="P66" s="31">
        <f t="shared" si="39"/>
        <v>2831.840778424941</v>
      </c>
      <c r="Q66" s="4">
        <f t="shared" si="55"/>
        <v>0.022340013573859147</v>
      </c>
      <c r="R66" s="25"/>
      <c r="S66" s="28">
        <f t="shared" si="40"/>
        <v>3.5281833231737934</v>
      </c>
      <c r="T66" s="28">
        <f t="shared" si="41"/>
        <v>2.7886662701514453</v>
      </c>
      <c r="U66" s="28">
        <f t="shared" si="42"/>
        <v>2.147173073880884</v>
      </c>
      <c r="V66" s="28">
        <f t="shared" si="43"/>
        <v>1.7173105399658517</v>
      </c>
      <c r="W66" s="28">
        <f t="shared" si="44"/>
        <v>1.6712478603476306</v>
      </c>
      <c r="X66" s="28">
        <f t="shared" si="45"/>
        <v>2004.214774057403</v>
      </c>
      <c r="Y66" s="28">
        <f t="shared" si="46"/>
        <v>1793.9220280025293</v>
      </c>
      <c r="Z66" s="28">
        <f t="shared" si="47"/>
        <v>1574.7604495130895</v>
      </c>
      <c r="AA66" s="28">
        <f t="shared" si="48"/>
        <v>1403.2530038064363</v>
      </c>
      <c r="AB66" s="28">
        <f t="shared" si="49"/>
        <v>1383.4219471594656</v>
      </c>
      <c r="AC66" s="28">
        <f t="shared" si="50"/>
        <v>121.75593270884622</v>
      </c>
      <c r="AD66" s="28">
        <f t="shared" si="51"/>
        <v>80.31736210357825</v>
      </c>
      <c r="AE66" s="28">
        <f t="shared" si="52"/>
        <v>51.20966064107843</v>
      </c>
      <c r="AF66" s="28">
        <f t="shared" si="53"/>
        <v>35.2594587537105</v>
      </c>
      <c r="AG66" s="28">
        <f t="shared" si="54"/>
        <v>33.71950087714266</v>
      </c>
      <c r="AH66" s="25"/>
      <c r="BX66" s="2"/>
    </row>
    <row r="67" spans="1:76" ht="16.5">
      <c r="A67" s="19">
        <v>27</v>
      </c>
      <c r="B67" s="15">
        <v>-0.7316515309435765</v>
      </c>
      <c r="C67" s="11">
        <v>235.02302523518713</v>
      </c>
      <c r="D67" s="4">
        <v>-0.9167679179694548</v>
      </c>
      <c r="E67" s="31">
        <f t="shared" si="28"/>
        <v>1.17293536827488</v>
      </c>
      <c r="F67" s="31">
        <f t="shared" si="29"/>
        <v>0.34487463160196863</v>
      </c>
      <c r="G67" s="31">
        <f t="shared" si="30"/>
        <v>110.78153440263358</v>
      </c>
      <c r="H67" s="31">
        <f t="shared" si="31"/>
        <v>0.43213194342185</v>
      </c>
      <c r="I67" s="31">
        <f t="shared" si="32"/>
        <v>0.5528802113009096</v>
      </c>
      <c r="J67" s="31">
        <f t="shared" si="33"/>
        <v>2.2114057852148985</v>
      </c>
      <c r="K67" s="31">
        <f t="shared" si="34"/>
        <v>14.661057866430028</v>
      </c>
      <c r="L67" s="31">
        <f t="shared" si="35"/>
        <v>328.5681152343399</v>
      </c>
      <c r="M67" s="31">
        <f t="shared" si="36"/>
        <v>2.389069610060589</v>
      </c>
      <c r="N67" s="31">
        <f t="shared" si="37"/>
        <v>832.0817863851621</v>
      </c>
      <c r="O67" s="31">
        <f t="shared" si="38"/>
        <v>1722.5807069002553</v>
      </c>
      <c r="P67" s="31">
        <f t="shared" si="39"/>
        <v>2900.280735996248</v>
      </c>
      <c r="Q67" s="4">
        <f t="shared" si="55"/>
        <v>0.022879927255725022</v>
      </c>
      <c r="R67" s="25"/>
      <c r="S67" s="28">
        <f t="shared" si="40"/>
        <v>3.5527755003602532</v>
      </c>
      <c r="T67" s="28">
        <f t="shared" si="41"/>
        <v>2.830678411396303</v>
      </c>
      <c r="U67" s="28">
        <f t="shared" si="42"/>
        <v>2.2114057852148985</v>
      </c>
      <c r="V67" s="28">
        <f t="shared" si="43"/>
        <v>1.804145113445846</v>
      </c>
      <c r="W67" s="28">
        <f t="shared" si="44"/>
        <v>1.762558481075423</v>
      </c>
      <c r="X67" s="28">
        <f t="shared" si="45"/>
        <v>2010.5341081216247</v>
      </c>
      <c r="Y67" s="28">
        <f t="shared" si="46"/>
        <v>1806.9896039894759</v>
      </c>
      <c r="Z67" s="28">
        <f t="shared" si="47"/>
        <v>1598.5172495957424</v>
      </c>
      <c r="AA67" s="28">
        <f t="shared" si="48"/>
        <v>1439.8104606782151</v>
      </c>
      <c r="AB67" s="28">
        <f t="shared" si="49"/>
        <v>1422.4341638453388</v>
      </c>
      <c r="AC67" s="28">
        <f t="shared" si="50"/>
        <v>123.27899098017872</v>
      </c>
      <c r="AD67" s="28">
        <f t="shared" si="51"/>
        <v>82.44530850545787</v>
      </c>
      <c r="AE67" s="28">
        <f t="shared" si="52"/>
        <v>53.838009838344824</v>
      </c>
      <c r="AF67" s="28">
        <f t="shared" si="53"/>
        <v>38.25156942018135</v>
      </c>
      <c r="AG67" s="28">
        <f t="shared" si="54"/>
        <v>36.80406952671739</v>
      </c>
      <c r="AH67" s="25"/>
      <c r="BX67" s="2"/>
    </row>
    <row r="68" spans="1:76" ht="16.5">
      <c r="A68" s="19">
        <v>28</v>
      </c>
      <c r="B68" s="15">
        <v>-0.725054795017682</v>
      </c>
      <c r="C68" s="11">
        <v>233.10995497958777</v>
      </c>
      <c r="D68" s="4">
        <v>-0.9671283960386144</v>
      </c>
      <c r="E68" s="31">
        <f t="shared" si="28"/>
        <v>1.208735616337318</v>
      </c>
      <c r="F68" s="31">
        <f t="shared" si="29"/>
        <v>0.34176516380753336</v>
      </c>
      <c r="G68" s="31">
        <f t="shared" si="30"/>
        <v>109.87978080583915</v>
      </c>
      <c r="H68" s="31">
        <f t="shared" si="31"/>
        <v>0.4558700900488401</v>
      </c>
      <c r="I68" s="31">
        <f t="shared" si="32"/>
        <v>0.569755180927324</v>
      </c>
      <c r="J68" s="31">
        <f t="shared" si="33"/>
        <v>2.278902151867942</v>
      </c>
      <c r="K68" s="31">
        <f t="shared" si="34"/>
        <v>14.397874861076252</v>
      </c>
      <c r="L68" s="31">
        <f t="shared" si="35"/>
        <v>322.7498724372294</v>
      </c>
      <c r="M68" s="31">
        <f t="shared" si="36"/>
        <v>2.6587546344494943</v>
      </c>
      <c r="N68" s="31">
        <f t="shared" si="37"/>
        <v>883.6504234497529</v>
      </c>
      <c r="O68" s="31">
        <f t="shared" si="38"/>
        <v>1749.074899314011</v>
      </c>
      <c r="P68" s="31">
        <f t="shared" si="39"/>
        <v>2972.531824696519</v>
      </c>
      <c r="Q68" s="4">
        <f t="shared" si="55"/>
        <v>0.023449906441909318</v>
      </c>
      <c r="R68" s="25"/>
      <c r="S68" s="28">
        <f t="shared" si="40"/>
        <v>3.5771211938995147</v>
      </c>
      <c r="T68" s="28">
        <f t="shared" si="41"/>
        <v>2.8745654189301804</v>
      </c>
      <c r="U68" s="28">
        <f t="shared" si="42"/>
        <v>2.278902151867942</v>
      </c>
      <c r="V68" s="28">
        <f t="shared" si="43"/>
        <v>1.8938326341264597</v>
      </c>
      <c r="W68" s="28">
        <f t="shared" si="44"/>
        <v>1.8554642094611602</v>
      </c>
      <c r="X68" s="28">
        <f t="shared" si="45"/>
        <v>2016.7500091848444</v>
      </c>
      <c r="Y68" s="28">
        <f t="shared" si="46"/>
        <v>1820.4866474215194</v>
      </c>
      <c r="Z68" s="28">
        <f t="shared" si="47"/>
        <v>1623.0114773431044</v>
      </c>
      <c r="AA68" s="28">
        <f t="shared" si="48"/>
        <v>1476.495114441309</v>
      </c>
      <c r="AB68" s="28">
        <f t="shared" si="49"/>
        <v>1460.9306003946654</v>
      </c>
      <c r="AC68" s="28">
        <f t="shared" si="50"/>
        <v>124.79598023349872</v>
      </c>
      <c r="AD68" s="28">
        <f t="shared" si="51"/>
        <v>84.69731699721233</v>
      </c>
      <c r="AE68" s="28">
        <f t="shared" si="52"/>
        <v>56.668534616864136</v>
      </c>
      <c r="AF68" s="28">
        <f t="shared" si="53"/>
        <v>41.4641882581493</v>
      </c>
      <c r="AG68" s="28">
        <f t="shared" si="54"/>
        <v>40.07462767888827</v>
      </c>
      <c r="AH68" s="25"/>
      <c r="BX68" s="2"/>
    </row>
    <row r="69" spans="1:76" ht="16.5">
      <c r="A69" s="19">
        <v>29</v>
      </c>
      <c r="B69" s="15">
        <v>-0.7179155992224899</v>
      </c>
      <c r="C69" s="11">
        <v>230.61392478009316</v>
      </c>
      <c r="D69" s="4">
        <v>-1.0189111298928748</v>
      </c>
      <c r="E69" s="31">
        <f t="shared" si="28"/>
        <v>1.246427975547148</v>
      </c>
      <c r="F69" s="31">
        <f t="shared" si="29"/>
        <v>0.33839999963350925</v>
      </c>
      <c r="G69" s="31">
        <f t="shared" si="30"/>
        <v>108.70324052797226</v>
      </c>
      <c r="H69" s="31">
        <f t="shared" si="31"/>
        <v>0.4802786377058094</v>
      </c>
      <c r="I69" s="31">
        <f t="shared" si="32"/>
        <v>0.5875220247688653</v>
      </c>
      <c r="J69" s="31">
        <f t="shared" si="33"/>
        <v>2.3499658297734087</v>
      </c>
      <c r="K69" s="31">
        <f t="shared" si="34"/>
        <v>14.115735648443069</v>
      </c>
      <c r="L69" s="31">
        <f t="shared" si="35"/>
        <v>316.348156749634</v>
      </c>
      <c r="M69" s="31">
        <f t="shared" si="36"/>
        <v>2.9510910064081153</v>
      </c>
      <c r="N69" s="31">
        <f t="shared" si="37"/>
        <v>939.6199467791904</v>
      </c>
      <c r="O69" s="31">
        <f t="shared" si="38"/>
        <v>1775.9535811629194</v>
      </c>
      <c r="P69" s="31">
        <f t="shared" si="39"/>
        <v>3048.988511346595</v>
      </c>
      <c r="Q69" s="4">
        <f t="shared" si="55"/>
        <v>0.02405306302846183</v>
      </c>
      <c r="R69" s="25"/>
      <c r="S69" s="28">
        <f t="shared" si="40"/>
        <v>3.6009429479135324</v>
      </c>
      <c r="T69" s="28">
        <f t="shared" si="41"/>
        <v>2.9203897275683364</v>
      </c>
      <c r="U69" s="28">
        <f t="shared" si="42"/>
        <v>2.3499658297734087</v>
      </c>
      <c r="V69" s="28">
        <f t="shared" si="43"/>
        <v>1.9869020697498143</v>
      </c>
      <c r="W69" s="28">
        <f t="shared" si="44"/>
        <v>1.9506402697337795</v>
      </c>
      <c r="X69" s="28">
        <f t="shared" si="45"/>
        <v>2022.7937189671022</v>
      </c>
      <c r="Y69" s="28">
        <f t="shared" si="46"/>
        <v>1834.4142874367071</v>
      </c>
      <c r="Z69" s="28">
        <f t="shared" si="47"/>
        <v>1648.297679464918</v>
      </c>
      <c r="AA69" s="28">
        <f t="shared" si="48"/>
        <v>1513.4789971235316</v>
      </c>
      <c r="AB69" s="28">
        <f t="shared" si="49"/>
        <v>1499.1963958544486</v>
      </c>
      <c r="AC69" s="28">
        <f t="shared" si="50"/>
        <v>126.28917940761346</v>
      </c>
      <c r="AD69" s="28">
        <f t="shared" si="51"/>
        <v>87.08046734740107</v>
      </c>
      <c r="AE69" s="28">
        <f t="shared" si="52"/>
        <v>59.724661683145854</v>
      </c>
      <c r="AF69" s="28">
        <f t="shared" si="53"/>
        <v>44.92923720386363</v>
      </c>
      <c r="AG69" s="28">
        <f t="shared" si="54"/>
        <v>43.563281325864835</v>
      </c>
      <c r="AH69" s="25"/>
      <c r="BX69" s="2"/>
    </row>
    <row r="70" spans="1:76" ht="16.5">
      <c r="A70" s="19">
        <v>30</v>
      </c>
      <c r="B70" s="15">
        <v>-0.7102502150156997</v>
      </c>
      <c r="C70" s="11">
        <v>227.50587821073148</v>
      </c>
      <c r="D70" s="4">
        <v>-1.072381236051545</v>
      </c>
      <c r="E70" s="31">
        <f t="shared" si="28"/>
        <v>1.2862569274314084</v>
      </c>
      <c r="F70" s="31">
        <f t="shared" si="29"/>
        <v>0.33478680886905476</v>
      </c>
      <c r="G70" s="31">
        <f t="shared" si="30"/>
        <v>107.23821739841219</v>
      </c>
      <c r="H70" s="31">
        <f t="shared" si="31"/>
        <v>0.5054825529349728</v>
      </c>
      <c r="I70" s="31">
        <f t="shared" si="32"/>
        <v>0.6062959827628603</v>
      </c>
      <c r="J70" s="31">
        <f t="shared" si="33"/>
        <v>2.425057754698004</v>
      </c>
      <c r="K70" s="31">
        <f t="shared" si="34"/>
        <v>13.815909643949107</v>
      </c>
      <c r="L70" s="31">
        <f t="shared" si="35"/>
        <v>309.3836929388378</v>
      </c>
      <c r="M70" s="31">
        <f t="shared" si="36"/>
        <v>3.2689509402189136</v>
      </c>
      <c r="N70" s="31">
        <f t="shared" si="37"/>
        <v>1000.6295065404058</v>
      </c>
      <c r="O70" s="31">
        <f t="shared" si="38"/>
        <v>1803.3842172247726</v>
      </c>
      <c r="P70" s="31">
        <f t="shared" si="39"/>
        <v>3130.4822772881844</v>
      </c>
      <c r="Q70" s="4">
        <f t="shared" si="55"/>
        <v>0.02469595646060338</v>
      </c>
      <c r="R70" s="25"/>
      <c r="S70" s="28">
        <f t="shared" si="40"/>
        <v>3.6247344533956594</v>
      </c>
      <c r="T70" s="28">
        <f t="shared" si="41"/>
        <v>2.968683261597104</v>
      </c>
      <c r="U70" s="28">
        <f t="shared" si="42"/>
        <v>2.425057754698004</v>
      </c>
      <c r="V70" s="28">
        <f t="shared" si="43"/>
        <v>2.0837884430613016</v>
      </c>
      <c r="W70" s="28">
        <f t="shared" si="44"/>
        <v>2.0486307117515294</v>
      </c>
      <c r="X70" s="28">
        <f t="shared" si="45"/>
        <v>2028.7920114079106</v>
      </c>
      <c r="Y70" s="28">
        <f t="shared" si="46"/>
        <v>1848.9124154918748</v>
      </c>
      <c r="Z70" s="28">
        <f t="shared" si="47"/>
        <v>1674.475911647227</v>
      </c>
      <c r="AA70" s="28">
        <f t="shared" si="48"/>
        <v>1550.8749592817837</v>
      </c>
      <c r="AB70" s="28">
        <f t="shared" si="49"/>
        <v>1537.4310537451142</v>
      </c>
      <c r="AC70" s="28">
        <f t="shared" si="50"/>
        <v>127.78922630825127</v>
      </c>
      <c r="AD70" s="28">
        <f t="shared" si="51"/>
        <v>89.6271169048863</v>
      </c>
      <c r="AE70" s="28">
        <f t="shared" si="52"/>
        <v>63.03873988670994</v>
      </c>
      <c r="AF70" s="28">
        <f t="shared" si="53"/>
        <v>48.6784512693583</v>
      </c>
      <c r="AG70" s="28">
        <f t="shared" si="54"/>
        <v>47.30120018074813</v>
      </c>
      <c r="AH70" s="25"/>
      <c r="BX70" s="2"/>
    </row>
    <row r="71" spans="1:76" ht="16.5">
      <c r="A71" s="19">
        <v>31</v>
      </c>
      <c r="B71" s="15">
        <v>-0.7022009474414048</v>
      </c>
      <c r="C71" s="11">
        <v>223.56423801738163</v>
      </c>
      <c r="D71" s="4">
        <v>-1.1280864983109464</v>
      </c>
      <c r="E71" s="31">
        <f t="shared" si="28"/>
        <v>1.3287833977962924</v>
      </c>
      <c r="F71" s="31">
        <f t="shared" si="29"/>
        <v>0.3309926690744307</v>
      </c>
      <c r="G71" s="31">
        <f t="shared" si="30"/>
        <v>105.38026774328617</v>
      </c>
      <c r="H71" s="31">
        <f t="shared" si="31"/>
        <v>0.531740041626654</v>
      </c>
      <c r="I71" s="31">
        <f t="shared" si="32"/>
        <v>0.6263414554778658</v>
      </c>
      <c r="J71" s="31">
        <f t="shared" si="33"/>
        <v>2.5052354738915095</v>
      </c>
      <c r="K71" s="31">
        <f t="shared" si="34"/>
        <v>13.504532635812136</v>
      </c>
      <c r="L71" s="31">
        <f t="shared" si="35"/>
        <v>301.90168498274363</v>
      </c>
      <c r="M71" s="31">
        <f t="shared" si="36"/>
        <v>3.61738549510383</v>
      </c>
      <c r="N71" s="31">
        <f t="shared" si="37"/>
        <v>1067.8893078986246</v>
      </c>
      <c r="O71" s="31">
        <f t="shared" si="38"/>
        <v>1831.6256850012965</v>
      </c>
      <c r="P71" s="31">
        <f t="shared" si="39"/>
        <v>3218.538596013581</v>
      </c>
      <c r="Q71" s="4">
        <f t="shared" si="55"/>
        <v>0.025390620994915073</v>
      </c>
      <c r="R71" s="25"/>
      <c r="S71" s="28">
        <f t="shared" si="40"/>
        <v>3.648426584489703</v>
      </c>
      <c r="T71" s="28">
        <f t="shared" si="41"/>
        <v>3.020069765499479</v>
      </c>
      <c r="U71" s="28">
        <f t="shared" si="42"/>
        <v>2.5052354738915095</v>
      </c>
      <c r="V71" s="28">
        <f t="shared" si="43"/>
        <v>2.1856730578684958</v>
      </c>
      <c r="W71" s="28">
        <f t="shared" si="44"/>
        <v>2.150280725214149</v>
      </c>
      <c r="X71" s="28">
        <f t="shared" si="45"/>
        <v>2034.7279466018567</v>
      </c>
      <c r="Y71" s="28">
        <f t="shared" si="46"/>
        <v>1864.139250319268</v>
      </c>
      <c r="Z71" s="28">
        <f t="shared" si="47"/>
        <v>1701.833864863481</v>
      </c>
      <c r="AA71" s="28">
        <f t="shared" si="48"/>
        <v>1589.0530521163378</v>
      </c>
      <c r="AB71" s="28">
        <f t="shared" si="49"/>
        <v>1575.9200925983346</v>
      </c>
      <c r="AC71" s="28">
        <f t="shared" si="50"/>
        <v>129.29169122875143</v>
      </c>
      <c r="AD71" s="28">
        <f t="shared" si="51"/>
        <v>92.37640440877446</v>
      </c>
      <c r="AE71" s="28">
        <f t="shared" si="52"/>
        <v>66.67336500663619</v>
      </c>
      <c r="AF71" s="28">
        <f t="shared" si="53"/>
        <v>52.77740093507596</v>
      </c>
      <c r="AG71" s="28">
        <f t="shared" si="54"/>
        <v>51.335356927964014</v>
      </c>
      <c r="AH71" s="25"/>
      <c r="BX71" s="2"/>
    </row>
    <row r="72" spans="1:76" ht="16.5">
      <c r="A72" s="19">
        <v>32</v>
      </c>
      <c r="B72" s="15">
        <v>-0.6934456903989243</v>
      </c>
      <c r="C72" s="11">
        <v>218.6426703280376</v>
      </c>
      <c r="D72" s="4">
        <v>-1.1866289424589562</v>
      </c>
      <c r="E72" s="31">
        <f t="shared" si="28"/>
        <v>1.374392655908093</v>
      </c>
      <c r="F72" s="31">
        <f t="shared" si="29"/>
        <v>0.3268657508361651</v>
      </c>
      <c r="G72" s="31">
        <f t="shared" si="30"/>
        <v>103.06041495547376</v>
      </c>
      <c r="H72" s="31">
        <f t="shared" si="31"/>
        <v>0.5593348774258572</v>
      </c>
      <c r="I72" s="31">
        <f t="shared" si="32"/>
        <v>0.6478400452076799</v>
      </c>
      <c r="J72" s="31">
        <f t="shared" si="33"/>
        <v>2.5912253587358367</v>
      </c>
      <c r="K72" s="31">
        <f t="shared" si="34"/>
        <v>13.169874712978036</v>
      </c>
      <c r="L72" s="31">
        <f t="shared" si="35"/>
        <v>293.63916787046463</v>
      </c>
      <c r="M72" s="31">
        <f t="shared" si="36"/>
        <v>4.002578550920091</v>
      </c>
      <c r="N72" s="31">
        <f t="shared" si="37"/>
        <v>1142.45605385926</v>
      </c>
      <c r="O72" s="31">
        <f t="shared" si="38"/>
        <v>1860.8974674622968</v>
      </c>
      <c r="P72" s="31">
        <f t="shared" si="39"/>
        <v>3314.1651424559195</v>
      </c>
      <c r="Q72" s="4">
        <f t="shared" si="55"/>
        <v>0.026145006044321458</v>
      </c>
      <c r="R72" s="25"/>
      <c r="S72" s="28">
        <f t="shared" si="40"/>
        <v>3.671987266814359</v>
      </c>
      <c r="T72" s="28">
        <f t="shared" si="41"/>
        <v>3.0749757831892093</v>
      </c>
      <c r="U72" s="28">
        <f t="shared" si="42"/>
        <v>2.5912253587358367</v>
      </c>
      <c r="V72" s="28">
        <f t="shared" si="43"/>
        <v>2.293558123378065</v>
      </c>
      <c r="W72" s="28">
        <f t="shared" si="44"/>
        <v>2.256846490985514</v>
      </c>
      <c r="X72" s="28">
        <f t="shared" si="45"/>
        <v>2040.5942064715769</v>
      </c>
      <c r="Y72" s="28">
        <f t="shared" si="46"/>
        <v>1880.184784477795</v>
      </c>
      <c r="Z72" s="28">
        <f t="shared" si="47"/>
        <v>1730.5172671169805</v>
      </c>
      <c r="AA72" s="28">
        <f t="shared" si="48"/>
        <v>1628.268060232783</v>
      </c>
      <c r="AB72" s="28">
        <f t="shared" si="49"/>
        <v>1615.0594911604182</v>
      </c>
      <c r="AC72" s="28">
        <f t="shared" si="50"/>
        <v>130.79441355591555</v>
      </c>
      <c r="AD72" s="28">
        <f t="shared" si="51"/>
        <v>95.35904099157374</v>
      </c>
      <c r="AE72" s="28">
        <f t="shared" si="52"/>
        <v>70.68175949984101</v>
      </c>
      <c r="AF72" s="28">
        <f t="shared" si="53"/>
        <v>57.29244040686431</v>
      </c>
      <c r="AG72" s="28">
        <f t="shared" si="54"/>
        <v>55.73587339773553</v>
      </c>
      <c r="AH72" s="25"/>
      <c r="BX72" s="2"/>
    </row>
    <row r="73" spans="1:76" ht="16.5">
      <c r="A73" s="19">
        <v>33</v>
      </c>
      <c r="B73" s="15">
        <v>-0.68417335829729</v>
      </c>
      <c r="C73" s="11">
        <v>212.54789818753315</v>
      </c>
      <c r="D73" s="4">
        <v>-1.2484668110260242</v>
      </c>
      <c r="E73" s="31">
        <f t="shared" si="28"/>
        <v>1.4236441136875755</v>
      </c>
      <c r="F73" s="31">
        <f t="shared" si="29"/>
        <v>0.3224951017192033</v>
      </c>
      <c r="G73" s="31">
        <f t="shared" si="30"/>
        <v>100.1875551202136</v>
      </c>
      <c r="H73" s="31">
        <f t="shared" si="31"/>
        <v>0.5884830596398889</v>
      </c>
      <c r="I73" s="31">
        <f t="shared" si="32"/>
        <v>0.6710554389288595</v>
      </c>
      <c r="J73" s="31">
        <f t="shared" si="33"/>
        <v>2.684082102261274</v>
      </c>
      <c r="K73" s="31">
        <f t="shared" si="34"/>
        <v>12.820030371462652</v>
      </c>
      <c r="L73" s="31">
        <f t="shared" si="35"/>
        <v>284.70778657087374</v>
      </c>
      <c r="M73" s="31">
        <f t="shared" si="36"/>
        <v>4.43061479578793</v>
      </c>
      <c r="N73" s="31">
        <f t="shared" si="37"/>
        <v>1225.8031279733366</v>
      </c>
      <c r="O73" s="31">
        <f t="shared" si="38"/>
        <v>1891.4670966713536</v>
      </c>
      <c r="P73" s="31">
        <f t="shared" si="39"/>
        <v>3419.2286563828147</v>
      </c>
      <c r="Q73" s="4">
        <f t="shared" si="55"/>
        <v>0.02697383806945729</v>
      </c>
      <c r="R73" s="25"/>
      <c r="S73" s="28">
        <f t="shared" si="40"/>
        <v>3.695993376953895</v>
      </c>
      <c r="T73" s="28">
        <f t="shared" si="41"/>
        <v>3.134360167700161</v>
      </c>
      <c r="U73" s="28">
        <f t="shared" si="42"/>
        <v>2.684082102261274</v>
      </c>
      <c r="V73" s="28">
        <f t="shared" si="43"/>
        <v>2.408446855325817</v>
      </c>
      <c r="W73" s="28">
        <f t="shared" si="44"/>
        <v>2.369213420233374</v>
      </c>
      <c r="X73" s="28">
        <f t="shared" si="45"/>
        <v>2046.5338622238935</v>
      </c>
      <c r="Y73" s="28">
        <f t="shared" si="46"/>
        <v>1897.282444758395</v>
      </c>
      <c r="Z73" s="28">
        <f t="shared" si="47"/>
        <v>1760.7530502869897</v>
      </c>
      <c r="AA73" s="28">
        <f t="shared" si="48"/>
        <v>1668.7320488919775</v>
      </c>
      <c r="AB73" s="28">
        <f t="shared" si="49"/>
        <v>1655.0599647362676</v>
      </c>
      <c r="AC73" s="28">
        <f t="shared" si="50"/>
        <v>132.33435971575838</v>
      </c>
      <c r="AD73" s="28">
        <f t="shared" si="51"/>
        <v>98.63734190845462</v>
      </c>
      <c r="AE73" s="28">
        <f t="shared" si="52"/>
        <v>75.13843743307359</v>
      </c>
      <c r="AF73" s="28">
        <f t="shared" si="53"/>
        <v>62.29814262707587</v>
      </c>
      <c r="AG73" s="28">
        <f t="shared" si="54"/>
        <v>60.56583077488168</v>
      </c>
      <c r="AH73" s="25"/>
      <c r="BX73" s="2"/>
    </row>
    <row r="74" spans="1:76" ht="16.5">
      <c r="A74" s="19">
        <v>34</v>
      </c>
      <c r="B74" s="15">
        <v>-0.6739838818223287</v>
      </c>
      <c r="C74" s="11">
        <v>204.83970364331694</v>
      </c>
      <c r="D74" s="4">
        <v>-1.3146950729765248</v>
      </c>
      <c r="E74" s="31">
        <f t="shared" si="28"/>
        <v>1.4773887125144298</v>
      </c>
      <c r="F74" s="31">
        <f t="shared" si="29"/>
        <v>0.31769214321109057</v>
      </c>
      <c r="G74" s="31">
        <f t="shared" si="30"/>
        <v>96.55418507816023</v>
      </c>
      <c r="H74" s="31">
        <f t="shared" si="31"/>
        <v>0.6197007178772211</v>
      </c>
      <c r="I74" s="31">
        <f t="shared" si="32"/>
        <v>0.6963887402849067</v>
      </c>
      <c r="J74" s="31">
        <f t="shared" si="33"/>
        <v>2.7854100355680873</v>
      </c>
      <c r="K74" s="31">
        <f t="shared" si="34"/>
        <v>12.441013396877421</v>
      </c>
      <c r="L74" s="31">
        <f t="shared" si="35"/>
        <v>274.72334696775005</v>
      </c>
      <c r="M74" s="31">
        <f t="shared" si="36"/>
        <v>4.91315042295114</v>
      </c>
      <c r="N74" s="31">
        <f t="shared" si="37"/>
        <v>1320.101744281404</v>
      </c>
      <c r="O74" s="31">
        <f t="shared" si="38"/>
        <v>1923.718059754508</v>
      </c>
      <c r="P74" s="31">
        <f t="shared" si="39"/>
        <v>3535.897314823491</v>
      </c>
      <c r="Q74" s="4">
        <f t="shared" si="55"/>
        <v>0.027894221529242872</v>
      </c>
      <c r="R74" s="25"/>
      <c r="S74" s="28">
        <f t="shared" si="40"/>
        <v>3.7199030552218133</v>
      </c>
      <c r="T74" s="28">
        <f t="shared" si="41"/>
        <v>3.1989503786195264</v>
      </c>
      <c r="U74" s="28">
        <f t="shared" si="42"/>
        <v>2.7854100355680873</v>
      </c>
      <c r="V74" s="28">
        <f t="shared" si="43"/>
        <v>2.5324603381630237</v>
      </c>
      <c r="W74" s="28">
        <f t="shared" si="44"/>
        <v>2.4895426124583833</v>
      </c>
      <c r="X74" s="28">
        <f t="shared" si="45"/>
        <v>2052.4121998119513</v>
      </c>
      <c r="Y74" s="28">
        <f t="shared" si="46"/>
        <v>1915.5811524900669</v>
      </c>
      <c r="Z74" s="28">
        <f t="shared" si="47"/>
        <v>1792.9031296079565</v>
      </c>
      <c r="AA74" s="28">
        <f t="shared" si="48"/>
        <v>1710.987737482337</v>
      </c>
      <c r="AB74" s="28">
        <f t="shared" si="49"/>
        <v>1696.5264505979783</v>
      </c>
      <c r="AC74" s="28">
        <f t="shared" si="50"/>
        <v>133.87696298835877</v>
      </c>
      <c r="AD74" s="28">
        <f t="shared" si="51"/>
        <v>102.26483775499656</v>
      </c>
      <c r="AE74" s="28">
        <f t="shared" si="52"/>
        <v>80.15356916762948</v>
      </c>
      <c r="AF74" s="28">
        <f t="shared" si="53"/>
        <v>67.93009541086964</v>
      </c>
      <c r="AG74" s="28">
        <f t="shared" si="54"/>
        <v>65.9541634603978</v>
      </c>
      <c r="AH74" s="25"/>
      <c r="BX74" s="2"/>
    </row>
    <row r="75" spans="1:76" ht="16.5">
      <c r="A75" s="19">
        <v>35</v>
      </c>
      <c r="B75" s="15">
        <v>-0.6632441842624921</v>
      </c>
      <c r="C75" s="11">
        <v>195.01696203664585</v>
      </c>
      <c r="D75" s="4">
        <v>-1.3862719757944502</v>
      </c>
      <c r="E75" s="31">
        <f t="shared" si="28"/>
        <v>1.536763755048598</v>
      </c>
      <c r="F75" s="31">
        <f t="shared" si="29"/>
        <v>0.31262982996110866</v>
      </c>
      <c r="G75" s="31">
        <f t="shared" si="30"/>
        <v>91.92409240473525</v>
      </c>
      <c r="H75" s="31">
        <f t="shared" si="31"/>
        <v>0.6534395360803441</v>
      </c>
      <c r="I75" s="31">
        <f t="shared" si="32"/>
        <v>0.7243760334897938</v>
      </c>
      <c r="J75" s="31">
        <f t="shared" si="33"/>
        <v>2.897353383947594</v>
      </c>
      <c r="K75" s="31">
        <f t="shared" si="34"/>
        <v>12.04768593373874</v>
      </c>
      <c r="L75" s="31">
        <f t="shared" si="35"/>
        <v>263.8714369650264</v>
      </c>
      <c r="M75" s="31">
        <f t="shared" si="36"/>
        <v>5.462694053191286</v>
      </c>
      <c r="N75" s="31">
        <f t="shared" si="37"/>
        <v>1428.3415495467214</v>
      </c>
      <c r="O75" s="31">
        <f t="shared" si="38"/>
        <v>1958.1728133691443</v>
      </c>
      <c r="P75" s="31">
        <f t="shared" si="39"/>
        <v>3667.896179867822</v>
      </c>
      <c r="Q75" s="4">
        <f t="shared" si="55"/>
        <v>0.028935542940845858</v>
      </c>
      <c r="R75" s="25"/>
      <c r="S75" s="28">
        <f t="shared" si="40"/>
        <v>3.7444915180031226</v>
      </c>
      <c r="T75" s="28">
        <f t="shared" si="41"/>
        <v>3.2704734461694813</v>
      </c>
      <c r="U75" s="28">
        <f t="shared" si="42"/>
        <v>2.897353383947594</v>
      </c>
      <c r="V75" s="28">
        <f t="shared" si="43"/>
        <v>2.6678075148923335</v>
      </c>
      <c r="W75" s="28">
        <f t="shared" si="44"/>
        <v>2.6198506593372795</v>
      </c>
      <c r="X75" s="28">
        <f t="shared" si="45"/>
        <v>2058.418610280517</v>
      </c>
      <c r="Y75" s="28">
        <f t="shared" si="46"/>
        <v>1935.488170626547</v>
      </c>
      <c r="Z75" s="28">
        <f t="shared" si="47"/>
        <v>1827.4336665333772</v>
      </c>
      <c r="AA75" s="28">
        <f t="shared" si="48"/>
        <v>1755.5080010956872</v>
      </c>
      <c r="AB75" s="28">
        <f t="shared" si="49"/>
        <v>1739.9186737611883</v>
      </c>
      <c r="AC75" s="28">
        <f t="shared" si="50"/>
        <v>135.47256465122246</v>
      </c>
      <c r="AD75" s="28">
        <f t="shared" si="51"/>
        <v>106.35683880323803</v>
      </c>
      <c r="AE75" s="28">
        <f t="shared" si="52"/>
        <v>85.87838156627375</v>
      </c>
      <c r="AF75" s="28">
        <f t="shared" si="53"/>
        <v>74.34771511262488</v>
      </c>
      <c r="AG75" s="28">
        <f t="shared" si="54"/>
        <v>72.04144441504437</v>
      </c>
      <c r="AH75" s="25"/>
      <c r="BX75" s="2"/>
    </row>
    <row r="76" spans="1:76" ht="16.5">
      <c r="A76" s="15">
        <f>J27</f>
        <v>36.23820889210402</v>
      </c>
      <c r="B76" s="15">
        <v>-0.6526372462371004</v>
      </c>
      <c r="C76" s="11">
        <v>181.6577317804412</v>
      </c>
      <c r="D76" s="4">
        <v>-1.463643292735403</v>
      </c>
      <c r="E76" s="31">
        <f t="shared" si="28"/>
        <v>1.6025564150897398</v>
      </c>
      <c r="F76" s="31">
        <f t="shared" si="29"/>
        <v>0.3076300948560454</v>
      </c>
      <c r="G76" s="31">
        <f t="shared" si="30"/>
        <v>85.62702417178467</v>
      </c>
      <c r="H76" s="31">
        <f t="shared" si="31"/>
        <v>0.6899096359818068</v>
      </c>
      <c r="I76" s="31">
        <f t="shared" si="32"/>
        <v>0.7553883644071363</v>
      </c>
      <c r="J76" s="31">
        <f t="shared" si="33"/>
        <v>3.0213962536358423</v>
      </c>
      <c r="K76" s="31">
        <f t="shared" si="34"/>
        <v>11.66542182263146</v>
      </c>
      <c r="L76" s="31">
        <f t="shared" si="35"/>
        <v>252.31292431804846</v>
      </c>
      <c r="M76" s="31">
        <f t="shared" si="36"/>
        <v>6.089483863183333</v>
      </c>
      <c r="N76" s="31">
        <f t="shared" si="37"/>
        <v>1553.2612423670996</v>
      </c>
      <c r="O76" s="31">
        <f t="shared" si="38"/>
        <v>1994.8012401093285</v>
      </c>
      <c r="P76" s="31">
        <f t="shared" si="39"/>
        <v>3818.1303124802916</v>
      </c>
      <c r="Q76" s="4">
        <f>P76*J$31*(A76-A75)</f>
        <v>0.03729574326889037</v>
      </c>
      <c r="R76" s="25"/>
      <c r="S76" s="28">
        <f t="shared" si="40"/>
        <v>3.7664277807442694</v>
      </c>
      <c r="T76" s="28">
        <f t="shared" si="41"/>
        <v>3.348612112711553</v>
      </c>
      <c r="U76" s="28">
        <f t="shared" si="42"/>
        <v>3.0213962536358423</v>
      </c>
      <c r="V76" s="28">
        <f t="shared" si="43"/>
        <v>2.8165359837610304</v>
      </c>
      <c r="W76" s="28">
        <f t="shared" si="44"/>
        <v>2.7613985515326425</v>
      </c>
      <c r="X76" s="28">
        <f t="shared" si="45"/>
        <v>2063.744079375372</v>
      </c>
      <c r="Y76" s="28">
        <f t="shared" si="46"/>
        <v>1956.8168303278906</v>
      </c>
      <c r="Z76" s="28">
        <f t="shared" si="47"/>
        <v>1864.5296146318303</v>
      </c>
      <c r="AA76" s="28">
        <f t="shared" si="48"/>
        <v>1802.6068763412623</v>
      </c>
      <c r="AB76" s="28">
        <f t="shared" si="49"/>
        <v>1785.3625942663234</v>
      </c>
      <c r="AC76" s="28">
        <f t="shared" si="50"/>
        <v>136.90393660520346</v>
      </c>
      <c r="AD76" s="28">
        <f t="shared" si="51"/>
        <v>110.91759996066749</v>
      </c>
      <c r="AE76" s="28">
        <f t="shared" si="52"/>
        <v>92.44791407362207</v>
      </c>
      <c r="AF76" s="28">
        <f t="shared" si="53"/>
        <v>81.7259416362497</v>
      </c>
      <c r="AG76" s="28">
        <f t="shared" si="54"/>
        <v>78.95081332822146</v>
      </c>
      <c r="AH76" s="25"/>
      <c r="BX76" s="2"/>
    </row>
    <row r="77" spans="2:76" ht="16.5">
      <c r="B77" s="15"/>
      <c r="D77" s="4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R77" s="2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30"/>
      <c r="AE77" s="30"/>
      <c r="AF77" s="30"/>
      <c r="AG77" s="30"/>
      <c r="AH77" s="25"/>
      <c r="BX77" s="2"/>
    </row>
    <row r="78" spans="1:76" ht="16.5">
      <c r="A78" s="15">
        <f>I28</f>
        <v>41.284249216564326</v>
      </c>
      <c r="B78" s="15">
        <v>-0.6091989960299014</v>
      </c>
      <c r="C78" s="11">
        <v>165.1876539783805</v>
      </c>
      <c r="D78" s="4">
        <v>-0.9962057691997916</v>
      </c>
      <c r="E78" s="31">
        <f aca="true" t="shared" si="56" ref="E78:E92">SQRT(B78^2+D78^2)</f>
        <v>1.1677111592130942</v>
      </c>
      <c r="F78" s="31">
        <f aca="true" t="shared" si="57" ref="F78:F92">-B78*$E$26*(1-$E$30)/$E$27/$E$31</f>
        <v>0.2871548413999064</v>
      </c>
      <c r="G78" s="31">
        <f aca="true" t="shared" si="58" ref="G78:G92">C78*$E$26*(1-$E$30)/$E$27/$E$31</f>
        <v>77.86361252810771</v>
      </c>
      <c r="H78" s="31">
        <f aca="true" t="shared" si="59" ref="H78:H92">-D78*$E$26*(1-$E$30)/$E$27/$E$31</f>
        <v>0.4695761344330858</v>
      </c>
      <c r="I78" s="31">
        <f aca="true" t="shared" si="60" ref="I78:I92">E78*$E$26*(1-$E$30)/$E$27/$E$31</f>
        <v>0.550417704083476</v>
      </c>
      <c r="J78" s="31">
        <f aca="true" t="shared" si="61" ref="J78:J92">E78*E$26/E$27</f>
        <v>2.201556268817933</v>
      </c>
      <c r="K78" s="31">
        <f aca="true" t="shared" si="62" ref="K78:K92">E$33*E$13/120*E$5*F78^2/E$6*E$3*E$8*(E$8-1)/E$4</f>
        <v>10.16424428944906</v>
      </c>
      <c r="L78" s="31">
        <f aca="true" t="shared" si="63" ref="L78:L92">E$33*E$13/6*F78^2*E$3/E$7/E$4*SQRT(E$5^2+16*E$3^2)*(1+(G78*E$3/F78)^2/15)</f>
        <v>218.62276880785834</v>
      </c>
      <c r="M78" s="31">
        <f aca="true" t="shared" si="64" ref="M78:M92">E$34*E$13*H78^2/8*E$4/E$7/E$3*SQRT(E$5^2+16*E$3^2)</f>
        <v>2.8210325364112676</v>
      </c>
      <c r="N78" s="31">
        <f aca="true" t="shared" si="65" ref="N78:N92">E$33*2*E$13*E$14*I78^2/E$12*E$19</f>
        <v>824.6861724255541</v>
      </c>
      <c r="O78" s="31">
        <f aca="true" t="shared" si="66" ref="O78:O92">(X78+AC78+Y78+AD78+Z78+AE78+AA78+AF78+AB78+AG78)/5</f>
        <v>1690.6307024849884</v>
      </c>
      <c r="P78" s="31">
        <f aca="true" t="shared" si="67" ref="P78:P92">SUM(K78:O78)</f>
        <v>2746.924920544261</v>
      </c>
      <c r="Q78" s="4">
        <f>P78*J$31*(A79-A78)</f>
        <v>0.015510408026583933</v>
      </c>
      <c r="R78" s="25"/>
      <c r="S78" s="28">
        <f aca="true" t="shared" si="68" ref="S78:S92">SQRT(($B78-$C78*0.8*$E$3)^2+$D78^2)*$E$26/$E$27</f>
        <v>3.0166965304921356</v>
      </c>
      <c r="T78" s="28">
        <f aca="true" t="shared" si="69" ref="T78:T92">SQRT(($B78-$C78*0.4*$E$3)^2+$D78^2)*$E$26/$E$27</f>
        <v>2.5702814397871547</v>
      </c>
      <c r="U78" s="28">
        <f aca="true" t="shared" si="70" ref="U78:U92">SQRT(($B78)^2+$D78^2)*$E$26/$E$27</f>
        <v>2.201556268817933</v>
      </c>
      <c r="V78" s="28">
        <f aca="true" t="shared" si="71" ref="V78:V92">SQRT(($B78+$C78*0.4*$E$3)^2+$D78^2)*$E$26/$E$27</f>
        <v>1.954985404614291</v>
      </c>
      <c r="W78" s="28">
        <f aca="true" t="shared" si="72" ref="W78:W92">SQRT(($B78+$C78*0.8*$E$3)^2+$D78^2)*$E$26/$E$27</f>
        <v>1.8792819006643016</v>
      </c>
      <c r="X78" s="28">
        <f aca="true" t="shared" si="73" ref="X78:X92">$E$35*$E$13*$E$14*$E$16/$E$31*2/3*$E$20/PI()*($E$21*$E$22*LN((S78+$E$22)/($E$30*S78+$E$22))+$E$23*S78*(1-$E$30)+$E$24*S78^2/2*(1-$E$30^2))</f>
        <v>1863.1459517123294</v>
      </c>
      <c r="Y78" s="28">
        <f aca="true" t="shared" si="74" ref="Y78:Y92">$E$35*$E$13*$E$14*$E$16/$E$31*2/3*$E$20/PI()*($E$21*$E$22*LN((T78+$E$22)/($E$30*T78+$E$22))+$E$23*T78*(1-$E$30)+$E$24*T78^2/2*(1-$E$30^2))</f>
        <v>1723.5925273641435</v>
      </c>
      <c r="Z78" s="28">
        <f aca="true" t="shared" si="75" ref="Z78:Z92">$E$35*$E$13*$E$14*$E$16/$E$31*2/3*$E$20/PI()*($E$21*$E$22*LN((U78+$E$22)/($E$30*U78+$E$22))+$E$23*U78*(1-$E$30)+$E$24*U78^2/2*(1-$E$30^2))</f>
        <v>1594.903029919535</v>
      </c>
      <c r="AA78" s="28">
        <f aca="true" t="shared" si="76" ref="AA78:AA92">$E$35*$E$13*$E$14*$E$16/$E$31*2/3*$E$20/PI()*($E$21*$E$22*LN((V78+$E$22)/($E$30*V78+$E$22))+$E$23*V78*(1-$E$30)+$E$24*V78^2/2*(1-$E$30^2))</f>
        <v>1500.9162788674435</v>
      </c>
      <c r="AB78" s="28">
        <f aca="true" t="shared" si="77" ref="AB78:AB92">$E$35*$E$13*$E$14*$E$16/$E$31*2/3*$E$20/PI()*($E$21*$E$22*LN((W78+$E$22)/($E$30*W78+$E$22))+$E$23*W78*(1-$E$30)+$E$24*W78^2/2*(1-$E$30^2))</f>
        <v>1470.6148260483403</v>
      </c>
      <c r="AC78" s="28">
        <f aca="true" t="shared" si="78" ref="AC78:AC92">1/18/PI()*$E$20/$E$31*S78*$E$25^2*(3*S78+4*$G$22)/($G$21*$G$22*16*$E$13*$E$14*$E$16*$E$3^2*$E$4^2)</f>
        <v>92.19467901029155</v>
      </c>
      <c r="AD78" s="28">
        <f aca="true" t="shared" si="79" ref="AD78:AD92">1/18/PI()*$E$20/$E$31*T78*$E$25^2*(3*T78+4*$G$22)/($G$21*$G$22*16*$E$13*$E$14*$E$16*$E$3^2*$E$4^2)</f>
        <v>69.69494912671463</v>
      </c>
      <c r="AE78" s="28">
        <f aca="true" t="shared" si="80" ref="AE78:AE92">1/18/PI()*$E$20/$E$31*U78*$E$25^2*(3*U78+4*$G$22)/($G$21*$G$22*16*$E$13*$E$14*$E$16*$E$3^2*$E$4^2)</f>
        <v>53.430841255656276</v>
      </c>
      <c r="AF78" s="28">
        <f aca="true" t="shared" si="81" ref="AF78:AF92">1/18/PI()*$E$20/$E$31*V78*$E$25^2*(3*V78+4*$G$22)/($G$21*$G$22*16*$E$13*$E$14*$E$16*$E$3^2*$E$4^2)</f>
        <v>43.72588896783797</v>
      </c>
      <c r="AG78" s="28">
        <f aca="true" t="shared" si="82" ref="AG78:AG92">1/18/PI()*$E$20/$E$31*W78*$E$25^2*(3*W78+4*$G$22)/($G$21*$G$22*16*$E$13*$E$14*$E$16*$E$3^2*$E$4^2)</f>
        <v>40.93454015264986</v>
      </c>
      <c r="AH78" s="25"/>
      <c r="BX78" s="2"/>
    </row>
    <row r="79" spans="1:76" ht="16.5">
      <c r="A79" s="19">
        <v>42</v>
      </c>
      <c r="B79" s="15">
        <v>-0.6036062565672307</v>
      </c>
      <c r="C79" s="11">
        <v>178.0405812419791</v>
      </c>
      <c r="D79" s="4">
        <v>-1.0020586485015945</v>
      </c>
      <c r="E79" s="31">
        <f t="shared" si="56"/>
        <v>1.1698128260554967</v>
      </c>
      <c r="F79" s="31">
        <f t="shared" si="57"/>
        <v>0.2845186219972805</v>
      </c>
      <c r="G79" s="31">
        <f t="shared" si="58"/>
        <v>83.9220274532072</v>
      </c>
      <c r="H79" s="31">
        <f t="shared" si="59"/>
        <v>0.4723349745470632</v>
      </c>
      <c r="I79" s="31">
        <f t="shared" si="60"/>
        <v>0.5514083554350679</v>
      </c>
      <c r="J79" s="31">
        <f t="shared" si="61"/>
        <v>2.2055186680596903</v>
      </c>
      <c r="K79" s="31">
        <f t="shared" si="62"/>
        <v>9.978475652743198</v>
      </c>
      <c r="L79" s="31">
        <f t="shared" si="63"/>
        <v>218.71667342743598</v>
      </c>
      <c r="M79" s="31">
        <f t="shared" si="64"/>
        <v>2.854278009198866</v>
      </c>
      <c r="N79" s="31">
        <f t="shared" si="65"/>
        <v>827.6574128835312</v>
      </c>
      <c r="O79" s="31">
        <f t="shared" si="66"/>
        <v>1699.6345951647804</v>
      </c>
      <c r="P79" s="31">
        <f t="shared" si="67"/>
        <v>2758.8414351376896</v>
      </c>
      <c r="Q79" s="4">
        <f aca="true" t="shared" si="83" ref="Q79:Q91">P79*J$31</f>
        <v>0.021764131507203174</v>
      </c>
      <c r="R79" s="25"/>
      <c r="S79" s="28">
        <f t="shared" si="68"/>
        <v>3.0894250706337694</v>
      </c>
      <c r="T79" s="28">
        <f t="shared" si="69"/>
        <v>2.6034093026690917</v>
      </c>
      <c r="U79" s="28">
        <f t="shared" si="70"/>
        <v>2.2055186680596903</v>
      </c>
      <c r="V79" s="28">
        <f t="shared" si="71"/>
        <v>1.9504525272018152</v>
      </c>
      <c r="W79" s="28">
        <f t="shared" si="72"/>
        <v>1.8967333482459878</v>
      </c>
      <c r="X79" s="28">
        <f t="shared" si="73"/>
        <v>1884.369340976512</v>
      </c>
      <c r="Y79" s="28">
        <f t="shared" si="74"/>
        <v>1734.5277017395208</v>
      </c>
      <c r="Z79" s="28">
        <f t="shared" si="75"/>
        <v>1596.3582439992056</v>
      </c>
      <c r="AA79" s="28">
        <f t="shared" si="76"/>
        <v>1499.1220317423538</v>
      </c>
      <c r="AB79" s="28">
        <f t="shared" si="77"/>
        <v>1477.6641252200732</v>
      </c>
      <c r="AC79" s="28">
        <f t="shared" si="78"/>
        <v>96.15169883804612</v>
      </c>
      <c r="AD79" s="28">
        <f t="shared" si="79"/>
        <v>71.25894342781967</v>
      </c>
      <c r="AE79" s="28">
        <f t="shared" si="80"/>
        <v>53.59446258941917</v>
      </c>
      <c r="AF79" s="28">
        <f t="shared" si="81"/>
        <v>43.55626202060261</v>
      </c>
      <c r="AG79" s="28">
        <f t="shared" si="82"/>
        <v>41.57016527034811</v>
      </c>
      <c r="AH79" s="25"/>
      <c r="BX79" s="2"/>
    </row>
    <row r="80" spans="1:76" ht="16.5">
      <c r="A80" s="19">
        <v>43</v>
      </c>
      <c r="B80" s="15">
        <v>-0.5973385358568848</v>
      </c>
      <c r="C80" s="11">
        <v>186.95603637908826</v>
      </c>
      <c r="D80" s="4">
        <v>-1.0854266139488287</v>
      </c>
      <c r="E80" s="31">
        <f t="shared" si="56"/>
        <v>1.2389367460399527</v>
      </c>
      <c r="F80" s="31">
        <f t="shared" si="57"/>
        <v>0.28156424032848676</v>
      </c>
      <c r="G80" s="31">
        <f t="shared" si="58"/>
        <v>88.12445740235128</v>
      </c>
      <c r="H80" s="31">
        <f t="shared" si="59"/>
        <v>0.5116316822761389</v>
      </c>
      <c r="I80" s="31">
        <f t="shared" si="60"/>
        <v>0.5839909243648138</v>
      </c>
      <c r="J80" s="31">
        <f t="shared" si="61"/>
        <v>2.33584216301507</v>
      </c>
      <c r="K80" s="31">
        <f t="shared" si="62"/>
        <v>9.772322768218238</v>
      </c>
      <c r="L80" s="31">
        <f t="shared" si="63"/>
        <v>217.4537570699312</v>
      </c>
      <c r="M80" s="31">
        <f t="shared" si="64"/>
        <v>3.3489674166544643</v>
      </c>
      <c r="N80" s="31">
        <f t="shared" si="65"/>
        <v>928.359358392745</v>
      </c>
      <c r="O80" s="31">
        <f t="shared" si="66"/>
        <v>1755.6158385440478</v>
      </c>
      <c r="P80" s="31">
        <f t="shared" si="67"/>
        <v>2914.550244191597</v>
      </c>
      <c r="Q80" s="4">
        <f t="shared" si="83"/>
        <v>0.022992497499506062</v>
      </c>
      <c r="R80" s="25"/>
      <c r="S80" s="28">
        <f t="shared" si="68"/>
        <v>3.229254149473371</v>
      </c>
      <c r="T80" s="28">
        <f t="shared" si="69"/>
        <v>2.733427749264528</v>
      </c>
      <c r="U80" s="28">
        <f t="shared" si="70"/>
        <v>2.33584216301507</v>
      </c>
      <c r="V80" s="28">
        <f t="shared" si="71"/>
        <v>2.093245425672709</v>
      </c>
      <c r="W80" s="28">
        <f t="shared" si="72"/>
        <v>2.061111512071033</v>
      </c>
      <c r="X80" s="28">
        <f t="shared" si="73"/>
        <v>1924.0608787667998</v>
      </c>
      <c r="Y80" s="28">
        <f t="shared" si="74"/>
        <v>1776.5179422858052</v>
      </c>
      <c r="Z80" s="28">
        <f t="shared" si="75"/>
        <v>1643.3123527621428</v>
      </c>
      <c r="AA80" s="28">
        <f t="shared" si="76"/>
        <v>1554.4671741094073</v>
      </c>
      <c r="AB80" s="28">
        <f t="shared" si="77"/>
        <v>1542.2197821591724</v>
      </c>
      <c r="AC80" s="28">
        <f t="shared" si="78"/>
        <v>103.98894543422607</v>
      </c>
      <c r="AD80" s="28">
        <f t="shared" si="79"/>
        <v>77.56095484696856</v>
      </c>
      <c r="AE80" s="28">
        <f t="shared" si="80"/>
        <v>59.111059257137065</v>
      </c>
      <c r="AF80" s="28">
        <f t="shared" si="81"/>
        <v>49.05217101109441</v>
      </c>
      <c r="AG80" s="28">
        <f t="shared" si="82"/>
        <v>47.78793208748719</v>
      </c>
      <c r="AH80" s="25"/>
      <c r="BX80" s="2"/>
    </row>
    <row r="81" spans="1:76" ht="16.5">
      <c r="A81" s="19">
        <v>44</v>
      </c>
      <c r="B81" s="15">
        <v>-0.5899700995025388</v>
      </c>
      <c r="C81" s="11">
        <v>192.78678151772814</v>
      </c>
      <c r="D81" s="4">
        <v>-1.1637762674259693</v>
      </c>
      <c r="E81" s="31">
        <f t="shared" si="56"/>
        <v>1.3047758117511823</v>
      </c>
      <c r="F81" s="31">
        <f t="shared" si="57"/>
        <v>0.2780910202698745</v>
      </c>
      <c r="G81" s="31">
        <f t="shared" si="58"/>
        <v>90.87286425535146</v>
      </c>
      <c r="H81" s="31">
        <f t="shared" si="59"/>
        <v>0.5485629353881541</v>
      </c>
      <c r="I81" s="31">
        <f t="shared" si="60"/>
        <v>0.6150251292722989</v>
      </c>
      <c r="J81" s="31">
        <f t="shared" si="61"/>
        <v>2.459972524111689</v>
      </c>
      <c r="K81" s="31">
        <f t="shared" si="62"/>
        <v>9.532717865825829</v>
      </c>
      <c r="L81" s="31">
        <f t="shared" si="63"/>
        <v>214.67998480701615</v>
      </c>
      <c r="M81" s="31">
        <f t="shared" si="64"/>
        <v>3.8498958706261788</v>
      </c>
      <c r="N81" s="31">
        <f t="shared" si="65"/>
        <v>1029.6500520034726</v>
      </c>
      <c r="O81" s="31">
        <f t="shared" si="66"/>
        <v>1805.7756196443308</v>
      </c>
      <c r="P81" s="31">
        <f t="shared" si="67"/>
        <v>3063.4882701912716</v>
      </c>
      <c r="Q81" s="4">
        <f t="shared" si="83"/>
        <v>0.02416744968885448</v>
      </c>
      <c r="R81" s="25"/>
      <c r="S81" s="28">
        <f t="shared" si="68"/>
        <v>3.346591150531139</v>
      </c>
      <c r="T81" s="28">
        <f t="shared" si="69"/>
        <v>2.8504859979272914</v>
      </c>
      <c r="U81" s="28">
        <f t="shared" si="70"/>
        <v>2.459972524111689</v>
      </c>
      <c r="V81" s="28">
        <f t="shared" si="71"/>
        <v>2.2312004647337274</v>
      </c>
      <c r="W81" s="28">
        <f t="shared" si="72"/>
        <v>2.214868507995507</v>
      </c>
      <c r="X81" s="28">
        <f t="shared" si="73"/>
        <v>1956.2706441031942</v>
      </c>
      <c r="Y81" s="28">
        <f t="shared" si="74"/>
        <v>1813.1005564679003</v>
      </c>
      <c r="Z81" s="28">
        <f t="shared" si="75"/>
        <v>1686.4635023221742</v>
      </c>
      <c r="AA81" s="28">
        <f t="shared" si="76"/>
        <v>1605.7498330853282</v>
      </c>
      <c r="AB81" s="28">
        <f t="shared" si="77"/>
        <v>1599.7854360851388</v>
      </c>
      <c r="AC81" s="28">
        <f t="shared" si="78"/>
        <v>110.79845399667582</v>
      </c>
      <c r="AD81" s="28">
        <f t="shared" si="79"/>
        <v>83.4580292380909</v>
      </c>
      <c r="AE81" s="28">
        <f t="shared" si="80"/>
        <v>64.60930168031948</v>
      </c>
      <c r="AF81" s="28">
        <f t="shared" si="81"/>
        <v>54.66083030017901</v>
      </c>
      <c r="AG81" s="28">
        <f t="shared" si="82"/>
        <v>53.981510942650395</v>
      </c>
      <c r="AH81" s="25"/>
      <c r="BX81" s="2"/>
    </row>
    <row r="82" spans="1:76" ht="16.5">
      <c r="A82" s="19">
        <v>45</v>
      </c>
      <c r="B82" s="15">
        <v>-0.5820132667816189</v>
      </c>
      <c r="C82" s="11">
        <v>196.4470854530454</v>
      </c>
      <c r="D82" s="4">
        <v>-1.239075168627491</v>
      </c>
      <c r="E82" s="31">
        <f t="shared" si="56"/>
        <v>1.3689582594875043</v>
      </c>
      <c r="F82" s="31">
        <f t="shared" si="57"/>
        <v>0.27434045099298554</v>
      </c>
      <c r="G82" s="31">
        <f t="shared" si="58"/>
        <v>92.59820195759858</v>
      </c>
      <c r="H82" s="31">
        <f t="shared" si="59"/>
        <v>0.5840561718724916</v>
      </c>
      <c r="I82" s="31">
        <f t="shared" si="60"/>
        <v>0.64527846310983</v>
      </c>
      <c r="J82" s="31">
        <f t="shared" si="61"/>
        <v>2.5809795634356947</v>
      </c>
      <c r="K82" s="31">
        <f t="shared" si="62"/>
        <v>9.277319324652842</v>
      </c>
      <c r="L82" s="31">
        <f t="shared" si="63"/>
        <v>210.94428871426493</v>
      </c>
      <c r="M82" s="31">
        <f t="shared" si="64"/>
        <v>4.364206557904089</v>
      </c>
      <c r="N82" s="31">
        <f t="shared" si="65"/>
        <v>1133.4392934251598</v>
      </c>
      <c r="O82" s="31">
        <f t="shared" si="66"/>
        <v>1852.1401092745941</v>
      </c>
      <c r="P82" s="31">
        <f t="shared" si="67"/>
        <v>3210.165217296576</v>
      </c>
      <c r="Q82" s="4">
        <f t="shared" si="83"/>
        <v>0.02532456452887993</v>
      </c>
      <c r="R82" s="25"/>
      <c r="S82" s="28">
        <f t="shared" si="68"/>
        <v>3.450054462161232</v>
      </c>
      <c r="T82" s="28">
        <f t="shared" si="69"/>
        <v>2.9601840399909025</v>
      </c>
      <c r="U82" s="28">
        <f t="shared" si="70"/>
        <v>2.5809795634356947</v>
      </c>
      <c r="V82" s="28">
        <f t="shared" si="71"/>
        <v>2.3662573107433134</v>
      </c>
      <c r="W82" s="28">
        <f t="shared" si="72"/>
        <v>2.3613225133253746</v>
      </c>
      <c r="X82" s="28">
        <f t="shared" si="73"/>
        <v>1983.8658372527773</v>
      </c>
      <c r="Y82" s="28">
        <f t="shared" si="74"/>
        <v>1846.3741521585146</v>
      </c>
      <c r="Z82" s="28">
        <f t="shared" si="75"/>
        <v>1727.1345696904173</v>
      </c>
      <c r="AA82" s="28">
        <f t="shared" si="76"/>
        <v>1654.023753421956</v>
      </c>
      <c r="AB82" s="28">
        <f t="shared" si="77"/>
        <v>1652.2920410569016</v>
      </c>
      <c r="AC82" s="28">
        <f t="shared" si="78"/>
        <v>116.97915360384054</v>
      </c>
      <c r="AD82" s="28">
        <f t="shared" si="79"/>
        <v>89.17631915296607</v>
      </c>
      <c r="AE82" s="28">
        <f t="shared" si="80"/>
        <v>70.19816438273597</v>
      </c>
      <c r="AF82" s="28">
        <f t="shared" si="81"/>
        <v>60.43626947287353</v>
      </c>
      <c r="AG82" s="28">
        <f t="shared" si="82"/>
        <v>60.22028617998874</v>
      </c>
      <c r="AH82" s="25"/>
      <c r="BX82" s="2"/>
    </row>
    <row r="83" spans="1:76" ht="16.5">
      <c r="A83" s="19">
        <v>46</v>
      </c>
      <c r="B83" s="15">
        <v>-0.5731696417058778</v>
      </c>
      <c r="C83" s="11">
        <v>198.3951260814957</v>
      </c>
      <c r="D83" s="4">
        <v>-1.3126336149754054</v>
      </c>
      <c r="E83" s="31">
        <f t="shared" si="56"/>
        <v>1.4323164613089683</v>
      </c>
      <c r="F83" s="31">
        <f t="shared" si="57"/>
        <v>0.27017187919202346</v>
      </c>
      <c r="G83" s="31">
        <f t="shared" si="58"/>
        <v>93.51643935022187</v>
      </c>
      <c r="H83" s="31">
        <f t="shared" si="59"/>
        <v>0.6187290195500378</v>
      </c>
      <c r="I83" s="31">
        <f t="shared" si="60"/>
        <v>0.6751432766009748</v>
      </c>
      <c r="J83" s="31">
        <f t="shared" si="61"/>
        <v>2.700432602229187</v>
      </c>
      <c r="K83" s="31">
        <f t="shared" si="62"/>
        <v>8.997525700533812</v>
      </c>
      <c r="L83" s="31">
        <f t="shared" si="63"/>
        <v>206.19243491551424</v>
      </c>
      <c r="M83" s="31">
        <f t="shared" si="64"/>
        <v>4.8977547424690995</v>
      </c>
      <c r="N83" s="31">
        <f t="shared" si="65"/>
        <v>1240.7829528891893</v>
      </c>
      <c r="O83" s="31">
        <f t="shared" si="66"/>
        <v>1895.825087188854</v>
      </c>
      <c r="P83" s="31">
        <f t="shared" si="67"/>
        <v>3356.6957554365604</v>
      </c>
      <c r="Q83" s="4">
        <f t="shared" si="83"/>
        <v>0.02648052436813786</v>
      </c>
      <c r="R83" s="25"/>
      <c r="S83" s="28">
        <f t="shared" si="68"/>
        <v>3.5437262873756814</v>
      </c>
      <c r="T83" s="28">
        <f t="shared" si="69"/>
        <v>3.0651812852138356</v>
      </c>
      <c r="U83" s="28">
        <f t="shared" si="70"/>
        <v>2.700432602229187</v>
      </c>
      <c r="V83" s="28">
        <f t="shared" si="71"/>
        <v>2.4997991486735316</v>
      </c>
      <c r="W83" s="28">
        <f t="shared" si="72"/>
        <v>2.503061114876138</v>
      </c>
      <c r="X83" s="28">
        <f t="shared" si="73"/>
        <v>2008.2135196354607</v>
      </c>
      <c r="Y83" s="28">
        <f t="shared" si="74"/>
        <v>1877.339291504415</v>
      </c>
      <c r="Z83" s="28">
        <f t="shared" si="75"/>
        <v>1765.9996649178245</v>
      </c>
      <c r="AA83" s="28">
        <f t="shared" si="76"/>
        <v>1699.997844717274</v>
      </c>
      <c r="AB83" s="28">
        <f t="shared" si="77"/>
        <v>1701.0998416041875</v>
      </c>
      <c r="AC83" s="28">
        <f t="shared" si="78"/>
        <v>122.7174637389836</v>
      </c>
      <c r="AD83" s="28">
        <f t="shared" si="79"/>
        <v>94.82356808009712</v>
      </c>
      <c r="AE83" s="28">
        <f t="shared" si="80"/>
        <v>75.93696554846515</v>
      </c>
      <c r="AF83" s="28">
        <f t="shared" si="81"/>
        <v>66.4237886333912</v>
      </c>
      <c r="AG83" s="28">
        <f t="shared" si="82"/>
        <v>66.57348756416947</v>
      </c>
      <c r="AH83" s="25"/>
      <c r="BX83" s="2"/>
    </row>
    <row r="84" spans="1:76" ht="16.5">
      <c r="A84" s="19">
        <v>47</v>
      </c>
      <c r="B84" s="15">
        <v>-0.5638422032320918</v>
      </c>
      <c r="C84" s="11">
        <v>198.77989350058206</v>
      </c>
      <c r="D84" s="4">
        <v>-1.3853539176118572</v>
      </c>
      <c r="E84" s="31">
        <f t="shared" si="56"/>
        <v>1.495701677203091</v>
      </c>
      <c r="F84" s="31">
        <f t="shared" si="57"/>
        <v>0.26577525488196635</v>
      </c>
      <c r="G84" s="31">
        <f t="shared" si="58"/>
        <v>93.69780509101204</v>
      </c>
      <c r="H84" s="31">
        <f t="shared" si="59"/>
        <v>0.6530067959518535</v>
      </c>
      <c r="I84" s="31">
        <f t="shared" si="60"/>
        <v>0.705020823569687</v>
      </c>
      <c r="J84" s="31">
        <f t="shared" si="61"/>
        <v>2.8199365722829826</v>
      </c>
      <c r="K84" s="31">
        <f t="shared" si="62"/>
        <v>8.707067181580642</v>
      </c>
      <c r="L84" s="31">
        <f t="shared" si="63"/>
        <v>200.72169236440678</v>
      </c>
      <c r="M84" s="31">
        <f t="shared" si="64"/>
        <v>5.455461114132459</v>
      </c>
      <c r="N84" s="31">
        <f t="shared" si="65"/>
        <v>1353.0312053308223</v>
      </c>
      <c r="O84" s="31">
        <f t="shared" si="66"/>
        <v>1937.659304560104</v>
      </c>
      <c r="P84" s="31">
        <f t="shared" si="67"/>
        <v>3505.574730551046</v>
      </c>
      <c r="Q84" s="4">
        <f t="shared" si="83"/>
        <v>0.027655010712942078</v>
      </c>
      <c r="R84" s="25"/>
      <c r="S84" s="28">
        <f t="shared" si="68"/>
        <v>3.6305276974975973</v>
      </c>
      <c r="T84" s="28">
        <f t="shared" si="69"/>
        <v>3.1677278785419847</v>
      </c>
      <c r="U84" s="28">
        <f t="shared" si="70"/>
        <v>2.8199365722829826</v>
      </c>
      <c r="V84" s="28">
        <f t="shared" si="71"/>
        <v>2.633127121868252</v>
      </c>
      <c r="W84" s="28">
        <f t="shared" si="72"/>
        <v>2.641675305019404</v>
      </c>
      <c r="X84" s="28">
        <f t="shared" si="73"/>
        <v>2030.2469088481623</v>
      </c>
      <c r="Y84" s="28">
        <f t="shared" si="74"/>
        <v>1906.7740924099655</v>
      </c>
      <c r="Z84" s="28">
        <f t="shared" si="75"/>
        <v>1803.6622097951276</v>
      </c>
      <c r="AA84" s="28">
        <f t="shared" si="76"/>
        <v>1744.2545450850835</v>
      </c>
      <c r="AB84" s="28">
        <f t="shared" si="77"/>
        <v>1747.0380704875777</v>
      </c>
      <c r="AC84" s="28">
        <f t="shared" si="78"/>
        <v>128.15581145308755</v>
      </c>
      <c r="AD84" s="28">
        <f t="shared" si="79"/>
        <v>100.50328756056832</v>
      </c>
      <c r="AE84" s="28">
        <f t="shared" si="80"/>
        <v>81.89863356981357</v>
      </c>
      <c r="AF84" s="28">
        <f t="shared" si="81"/>
        <v>72.67636257906061</v>
      </c>
      <c r="AG84" s="28">
        <f t="shared" si="82"/>
        <v>73.08660101207292</v>
      </c>
      <c r="AH84" s="25"/>
      <c r="BX84" s="2"/>
    </row>
    <row r="85" spans="1:76" ht="16.5">
      <c r="A85" s="19">
        <v>48</v>
      </c>
      <c r="B85" s="15">
        <v>-0.553885694261746</v>
      </c>
      <c r="C85" s="11">
        <v>197.80678894011174</v>
      </c>
      <c r="D85" s="4">
        <v>-1.4583924395940684</v>
      </c>
      <c r="E85" s="31">
        <f t="shared" si="56"/>
        <v>1.5600313683298022</v>
      </c>
      <c r="F85" s="31">
        <f t="shared" si="57"/>
        <v>0.2610821090086005</v>
      </c>
      <c r="G85" s="31">
        <f t="shared" si="58"/>
        <v>93.23911804860323</v>
      </c>
      <c r="H85" s="31">
        <f t="shared" si="59"/>
        <v>0.6874345696884603</v>
      </c>
      <c r="I85" s="31">
        <f t="shared" si="60"/>
        <v>0.7353435627291077</v>
      </c>
      <c r="J85" s="31">
        <f t="shared" si="61"/>
        <v>2.9412212184505946</v>
      </c>
      <c r="K85" s="31">
        <f t="shared" si="62"/>
        <v>8.402277741167772</v>
      </c>
      <c r="L85" s="31">
        <f t="shared" si="63"/>
        <v>194.52604386236928</v>
      </c>
      <c r="M85" s="31">
        <f t="shared" si="64"/>
        <v>6.0458699168868</v>
      </c>
      <c r="N85" s="31">
        <f t="shared" si="65"/>
        <v>1471.9210415119214</v>
      </c>
      <c r="O85" s="31">
        <f t="shared" si="66"/>
        <v>1978.4964587344498</v>
      </c>
      <c r="P85" s="31">
        <f t="shared" si="67"/>
        <v>3659.391691766795</v>
      </c>
      <c r="Q85" s="4">
        <f t="shared" si="83"/>
        <v>0.028868452170396065</v>
      </c>
      <c r="R85" s="25"/>
      <c r="S85" s="28">
        <f t="shared" si="68"/>
        <v>3.71335667783244</v>
      </c>
      <c r="T85" s="28">
        <f t="shared" si="69"/>
        <v>3.270047089878009</v>
      </c>
      <c r="U85" s="28">
        <f t="shared" si="70"/>
        <v>2.9412212184505946</v>
      </c>
      <c r="V85" s="28">
        <f t="shared" si="71"/>
        <v>2.7679849483578973</v>
      </c>
      <c r="W85" s="28">
        <f t="shared" si="72"/>
        <v>2.7795832826945928</v>
      </c>
      <c r="X85" s="28">
        <f t="shared" si="73"/>
        <v>2050.806440377283</v>
      </c>
      <c r="Y85" s="28">
        <f t="shared" si="74"/>
        <v>1935.3705978168905</v>
      </c>
      <c r="Z85" s="28">
        <f t="shared" si="75"/>
        <v>1840.6905749633222</v>
      </c>
      <c r="AA85" s="28">
        <f t="shared" si="76"/>
        <v>1787.4357527285838</v>
      </c>
      <c r="AB85" s="28">
        <f t="shared" si="77"/>
        <v>1791.0777061458061</v>
      </c>
      <c r="AC85" s="28">
        <f t="shared" si="78"/>
        <v>133.45372681267796</v>
      </c>
      <c r="AD85" s="28">
        <f t="shared" si="79"/>
        <v>106.33221199227722</v>
      </c>
      <c r="AE85" s="28">
        <f t="shared" si="80"/>
        <v>88.17455286215358</v>
      </c>
      <c r="AF85" s="28">
        <f t="shared" si="81"/>
        <v>79.27984572336663</v>
      </c>
      <c r="AG85" s="28">
        <f t="shared" si="82"/>
        <v>79.86088424988829</v>
      </c>
      <c r="AH85" s="25"/>
      <c r="BX85" s="2"/>
    </row>
    <row r="86" spans="1:76" ht="16.5">
      <c r="A86" s="19">
        <v>49</v>
      </c>
      <c r="B86" s="15">
        <v>-0.5431440402046857</v>
      </c>
      <c r="C86" s="11">
        <v>195.4771629223311</v>
      </c>
      <c r="D86" s="4">
        <v>-1.5324290050316072</v>
      </c>
      <c r="E86" s="31">
        <f t="shared" si="56"/>
        <v>1.6258364320779723</v>
      </c>
      <c r="F86" s="31">
        <f t="shared" si="57"/>
        <v>0.25601887353508634</v>
      </c>
      <c r="G86" s="31">
        <f t="shared" si="58"/>
        <v>92.14101481137453</v>
      </c>
      <c r="H86" s="31">
        <f t="shared" si="59"/>
        <v>0.7223327857796875</v>
      </c>
      <c r="I86" s="31">
        <f t="shared" si="60"/>
        <v>0.7663617403148585</v>
      </c>
      <c r="J86" s="31">
        <f t="shared" si="61"/>
        <v>3.065287473595725</v>
      </c>
      <c r="K86" s="31">
        <f t="shared" si="62"/>
        <v>8.079542569701115</v>
      </c>
      <c r="L86" s="31">
        <f t="shared" si="63"/>
        <v>187.54286388902503</v>
      </c>
      <c r="M86" s="31">
        <f t="shared" si="64"/>
        <v>6.675298904122545</v>
      </c>
      <c r="N86" s="31">
        <f t="shared" si="65"/>
        <v>1598.7168555845474</v>
      </c>
      <c r="O86" s="31">
        <f t="shared" si="66"/>
        <v>2018.7823213670501</v>
      </c>
      <c r="P86" s="31">
        <f t="shared" si="67"/>
        <v>3819.7968823144465</v>
      </c>
      <c r="Q86" s="4">
        <f t="shared" si="83"/>
        <v>0.0301338672888778</v>
      </c>
      <c r="R86" s="25"/>
      <c r="S86" s="28">
        <f t="shared" si="68"/>
        <v>3.793559141557016</v>
      </c>
      <c r="T86" s="28">
        <f t="shared" si="69"/>
        <v>3.3733040194513677</v>
      </c>
      <c r="U86" s="28">
        <f t="shared" si="70"/>
        <v>3.065287473595725</v>
      </c>
      <c r="V86" s="28">
        <f t="shared" si="71"/>
        <v>2.905428165503171</v>
      </c>
      <c r="W86" s="28">
        <f t="shared" si="72"/>
        <v>2.918176930036206</v>
      </c>
      <c r="X86" s="28">
        <f t="shared" si="73"/>
        <v>2070.287824442362</v>
      </c>
      <c r="Y86" s="28">
        <f t="shared" si="74"/>
        <v>1963.4668844937332</v>
      </c>
      <c r="Z86" s="28">
        <f t="shared" si="75"/>
        <v>1877.3701802869098</v>
      </c>
      <c r="AA86" s="28">
        <f t="shared" si="76"/>
        <v>1829.885343118624</v>
      </c>
      <c r="AB86" s="28">
        <f t="shared" si="77"/>
        <v>1833.7455812702929</v>
      </c>
      <c r="AC86" s="28">
        <f t="shared" si="78"/>
        <v>138.6845718014651</v>
      </c>
      <c r="AD86" s="28">
        <f t="shared" si="79"/>
        <v>112.37840426211658</v>
      </c>
      <c r="AE86" s="28">
        <f t="shared" si="80"/>
        <v>94.82936554151695</v>
      </c>
      <c r="AF86" s="28">
        <f t="shared" si="81"/>
        <v>86.298808456856</v>
      </c>
      <c r="AG86" s="28">
        <f t="shared" si="82"/>
        <v>86.96464316137359</v>
      </c>
      <c r="AH86" s="25"/>
      <c r="BX86" s="2"/>
    </row>
    <row r="87" spans="1:76" ht="16.5">
      <c r="A87" s="19">
        <v>50</v>
      </c>
      <c r="B87" s="15">
        <v>-0.5318523069431151</v>
      </c>
      <c r="C87" s="11">
        <v>191.67859495808676</v>
      </c>
      <c r="D87" s="4">
        <v>-1.6083404901146503</v>
      </c>
      <c r="E87" s="31">
        <f t="shared" si="56"/>
        <v>1.6939970509251032</v>
      </c>
      <c r="F87" s="31">
        <f t="shared" si="57"/>
        <v>0.25069635019708464</v>
      </c>
      <c r="G87" s="31">
        <f t="shared" si="58"/>
        <v>90.35050434036613</v>
      </c>
      <c r="H87" s="31">
        <f t="shared" si="59"/>
        <v>0.7581147726206222</v>
      </c>
      <c r="I87" s="31">
        <f t="shared" si="60"/>
        <v>0.7984902431888302</v>
      </c>
      <c r="J87" s="31">
        <f t="shared" si="61"/>
        <v>3.1937947988237667</v>
      </c>
      <c r="K87" s="31">
        <f t="shared" si="62"/>
        <v>7.747094102013511</v>
      </c>
      <c r="L87" s="31">
        <f t="shared" si="63"/>
        <v>179.91070366610037</v>
      </c>
      <c r="M87" s="31">
        <f t="shared" si="64"/>
        <v>7.353023960089669</v>
      </c>
      <c r="N87" s="31">
        <f t="shared" si="65"/>
        <v>1735.5740640657489</v>
      </c>
      <c r="O87" s="31">
        <f t="shared" si="66"/>
        <v>2059.0851028789507</v>
      </c>
      <c r="P87" s="31">
        <f t="shared" si="67"/>
        <v>3989.669988672903</v>
      </c>
      <c r="Q87" s="4">
        <f t="shared" si="83"/>
        <v>0.03147397353030013</v>
      </c>
      <c r="R87" s="25"/>
      <c r="S87" s="28">
        <f t="shared" si="68"/>
        <v>3.8728894591075314</v>
      </c>
      <c r="T87" s="28">
        <f t="shared" si="69"/>
        <v>3.479257964904733</v>
      </c>
      <c r="U87" s="28">
        <f t="shared" si="70"/>
        <v>3.1937947988237667</v>
      </c>
      <c r="V87" s="28">
        <f t="shared" si="71"/>
        <v>3.047054389798184</v>
      </c>
      <c r="W87" s="28">
        <f t="shared" si="72"/>
        <v>3.0590654943196207</v>
      </c>
      <c r="X87" s="28">
        <f t="shared" si="73"/>
        <v>2089.1510133790284</v>
      </c>
      <c r="Y87" s="28">
        <f t="shared" si="74"/>
        <v>1991.5207706437604</v>
      </c>
      <c r="Z87" s="28">
        <f t="shared" si="75"/>
        <v>1914.1318265927382</v>
      </c>
      <c r="AA87" s="28">
        <f t="shared" si="76"/>
        <v>1872.053862421676</v>
      </c>
      <c r="AB87" s="28">
        <f t="shared" si="77"/>
        <v>1875.558845503632</v>
      </c>
      <c r="AC87" s="28">
        <f t="shared" si="78"/>
        <v>143.9562222591631</v>
      </c>
      <c r="AD87" s="28">
        <f t="shared" si="79"/>
        <v>118.75361995307912</v>
      </c>
      <c r="AE87" s="28">
        <f t="shared" si="80"/>
        <v>101.9729264556276</v>
      </c>
      <c r="AF87" s="28">
        <f t="shared" si="81"/>
        <v>93.83646313801283</v>
      </c>
      <c r="AG87" s="28">
        <f t="shared" si="82"/>
        <v>94.48996404803596</v>
      </c>
      <c r="AH87" s="25"/>
      <c r="BX87" s="2"/>
    </row>
    <row r="88" spans="1:76" ht="16.5">
      <c r="A88" s="19">
        <v>51</v>
      </c>
      <c r="B88" s="15">
        <v>-0.5197396600150359</v>
      </c>
      <c r="C88" s="11">
        <v>186.28593034491297</v>
      </c>
      <c r="D88" s="4">
        <v>-1.68723168296781</v>
      </c>
      <c r="E88" s="31">
        <f t="shared" si="56"/>
        <v>1.7654687950238412</v>
      </c>
      <c r="F88" s="31">
        <f t="shared" si="57"/>
        <v>0.24498687721660894</v>
      </c>
      <c r="G88" s="31">
        <f t="shared" si="58"/>
        <v>87.80859313924721</v>
      </c>
      <c r="H88" s="31">
        <f t="shared" si="59"/>
        <v>0.7953012882242799</v>
      </c>
      <c r="I88" s="31">
        <f t="shared" si="60"/>
        <v>0.8321794932942923</v>
      </c>
      <c r="J88" s="31">
        <f t="shared" si="61"/>
        <v>3.3285447881704155</v>
      </c>
      <c r="K88" s="31">
        <f t="shared" si="62"/>
        <v>7.39824062608676</v>
      </c>
      <c r="L88" s="31">
        <f t="shared" si="63"/>
        <v>171.48962817017147</v>
      </c>
      <c r="M88" s="31">
        <f t="shared" si="64"/>
        <v>8.09206633421666</v>
      </c>
      <c r="N88" s="31">
        <f t="shared" si="65"/>
        <v>1885.115407931523</v>
      </c>
      <c r="O88" s="31">
        <f t="shared" si="66"/>
        <v>2099.9998999184127</v>
      </c>
      <c r="P88" s="31">
        <f t="shared" si="67"/>
        <v>4172.095242980411</v>
      </c>
      <c r="Q88" s="4">
        <f t="shared" si="83"/>
        <v>0.03291310198995567</v>
      </c>
      <c r="R88" s="25"/>
      <c r="S88" s="28">
        <f t="shared" si="68"/>
        <v>3.9530522750065207</v>
      </c>
      <c r="T88" s="28">
        <f t="shared" si="69"/>
        <v>3.589678238075354</v>
      </c>
      <c r="U88" s="28">
        <f t="shared" si="70"/>
        <v>3.3285447881704155</v>
      </c>
      <c r="V88" s="28">
        <f t="shared" si="71"/>
        <v>3.194821427054759</v>
      </c>
      <c r="W88" s="28">
        <f t="shared" si="72"/>
        <v>3.2044984763059396</v>
      </c>
      <c r="X88" s="28">
        <f t="shared" si="73"/>
        <v>2107.8074410846366</v>
      </c>
      <c r="Y88" s="28">
        <f t="shared" si="74"/>
        <v>2019.940524476254</v>
      </c>
      <c r="Z88" s="28">
        <f t="shared" si="75"/>
        <v>1951.3806464485813</v>
      </c>
      <c r="AA88" s="28">
        <f t="shared" si="76"/>
        <v>1914.4205853185126</v>
      </c>
      <c r="AB88" s="28">
        <f t="shared" si="77"/>
        <v>1917.138650776449</v>
      </c>
      <c r="AC88" s="28">
        <f t="shared" si="78"/>
        <v>149.38188170112437</v>
      </c>
      <c r="AD88" s="28">
        <f t="shared" si="79"/>
        <v>125.58199114596859</v>
      </c>
      <c r="AE88" s="28">
        <f t="shared" si="80"/>
        <v>109.73732476317029</v>
      </c>
      <c r="AF88" s="28">
        <f t="shared" si="81"/>
        <v>102.0310218991287</v>
      </c>
      <c r="AG88" s="28">
        <f t="shared" si="82"/>
        <v>102.5794319782383</v>
      </c>
      <c r="AH88" s="25"/>
      <c r="BX88" s="2"/>
    </row>
    <row r="89" spans="1:76" ht="16.5">
      <c r="A89" s="19">
        <v>52</v>
      </c>
      <c r="B89" s="15">
        <v>-0.507115608884023</v>
      </c>
      <c r="C89" s="11">
        <v>179.04529282170077</v>
      </c>
      <c r="D89" s="4">
        <v>-1.7698720892038968</v>
      </c>
      <c r="E89" s="31">
        <f t="shared" si="56"/>
        <v>1.8410902891810548</v>
      </c>
      <c r="F89" s="31">
        <f t="shared" si="57"/>
        <v>0.23903634639831386</v>
      </c>
      <c r="G89" s="31">
        <f t="shared" si="58"/>
        <v>84.39561292561902</v>
      </c>
      <c r="H89" s="31">
        <f t="shared" si="59"/>
        <v>0.8342550502964398</v>
      </c>
      <c r="I89" s="31">
        <f t="shared" si="60"/>
        <v>0.8678247886783194</v>
      </c>
      <c r="J89" s="31">
        <f t="shared" si="61"/>
        <v>3.47111855155843</v>
      </c>
      <c r="K89" s="31">
        <f t="shared" si="62"/>
        <v>7.0432109000754295</v>
      </c>
      <c r="L89" s="31">
        <f t="shared" si="63"/>
        <v>162.44396425081297</v>
      </c>
      <c r="M89" s="31">
        <f t="shared" si="64"/>
        <v>8.904176317927405</v>
      </c>
      <c r="N89" s="31">
        <f t="shared" si="65"/>
        <v>2050.066865360537</v>
      </c>
      <c r="O89" s="31">
        <f t="shared" si="66"/>
        <v>2141.9666518382815</v>
      </c>
      <c r="P89" s="31">
        <f t="shared" si="67"/>
        <v>4370.424868667635</v>
      </c>
      <c r="Q89" s="4">
        <f t="shared" si="83"/>
        <v>0.034477697910639926</v>
      </c>
      <c r="R89" s="25"/>
      <c r="S89" s="28">
        <f t="shared" si="68"/>
        <v>4.035713430560808</v>
      </c>
      <c r="T89" s="28">
        <f t="shared" si="69"/>
        <v>3.706252037405297</v>
      </c>
      <c r="U89" s="28">
        <f t="shared" si="70"/>
        <v>3.47111855155843</v>
      </c>
      <c r="V89" s="28">
        <f t="shared" si="71"/>
        <v>3.350233185349256</v>
      </c>
      <c r="W89" s="28">
        <f t="shared" si="72"/>
        <v>3.3559647430355852</v>
      </c>
      <c r="X89" s="28">
        <f t="shared" si="73"/>
        <v>2126.625074601632</v>
      </c>
      <c r="Y89" s="28">
        <f t="shared" si="74"/>
        <v>2049.0605841166207</v>
      </c>
      <c r="Z89" s="28">
        <f t="shared" si="75"/>
        <v>1989.393114249745</v>
      </c>
      <c r="AA89" s="28">
        <f t="shared" si="76"/>
        <v>1957.254734233997</v>
      </c>
      <c r="AB89" s="28">
        <f t="shared" si="77"/>
        <v>1958.801529077838</v>
      </c>
      <c r="AC89" s="28">
        <f t="shared" si="78"/>
        <v>155.0805250470898</v>
      </c>
      <c r="AD89" s="28">
        <f t="shared" si="79"/>
        <v>132.9951464441339</v>
      </c>
      <c r="AE89" s="28">
        <f t="shared" si="80"/>
        <v>118.25772867063137</v>
      </c>
      <c r="AF89" s="28">
        <f t="shared" si="81"/>
        <v>111.01321598095885</v>
      </c>
      <c r="AG89" s="28">
        <f t="shared" si="82"/>
        <v>111.35160676876119</v>
      </c>
      <c r="AH89" s="25"/>
      <c r="BX89" s="2"/>
    </row>
    <row r="90" spans="1:76" ht="16.5">
      <c r="A90" s="19">
        <v>53</v>
      </c>
      <c r="B90" s="15">
        <v>-0.4933396757856654</v>
      </c>
      <c r="C90" s="11">
        <v>169.5704965161943</v>
      </c>
      <c r="D90" s="4">
        <v>-1.857988197278325</v>
      </c>
      <c r="E90" s="31">
        <f t="shared" si="56"/>
        <v>1.9223694173935106</v>
      </c>
      <c r="F90" s="31">
        <f t="shared" si="57"/>
        <v>0.23254285919663698</v>
      </c>
      <c r="G90" s="31">
        <f t="shared" si="58"/>
        <v>79.9295293500798</v>
      </c>
      <c r="H90" s="31">
        <f t="shared" si="59"/>
        <v>0.8757898643781875</v>
      </c>
      <c r="I90" s="31">
        <f t="shared" si="60"/>
        <v>0.9061368924786756</v>
      </c>
      <c r="J90" s="31">
        <f t="shared" si="61"/>
        <v>3.6243589936218377</v>
      </c>
      <c r="K90" s="31">
        <f t="shared" si="62"/>
        <v>6.665746981481193</v>
      </c>
      <c r="L90" s="31">
        <f t="shared" si="63"/>
        <v>152.41803014284238</v>
      </c>
      <c r="M90" s="31">
        <f t="shared" si="64"/>
        <v>9.812866530993253</v>
      </c>
      <c r="N90" s="31">
        <f t="shared" si="65"/>
        <v>2235.0721606341767</v>
      </c>
      <c r="O90" s="31">
        <f t="shared" si="66"/>
        <v>2185.778728753338</v>
      </c>
      <c r="P90" s="31">
        <f t="shared" si="67"/>
        <v>4589.7475330428315</v>
      </c>
      <c r="Q90" s="4">
        <f t="shared" si="83"/>
        <v>0.03620790510891399</v>
      </c>
      <c r="R90" s="25"/>
      <c r="S90" s="28">
        <f t="shared" si="68"/>
        <v>4.122968576770977</v>
      </c>
      <c r="T90" s="28">
        <f t="shared" si="69"/>
        <v>3.831496699333579</v>
      </c>
      <c r="U90" s="28">
        <f t="shared" si="70"/>
        <v>3.6243589936218377</v>
      </c>
      <c r="V90" s="28">
        <f t="shared" si="71"/>
        <v>3.5164902044469115</v>
      </c>
      <c r="W90" s="28">
        <f t="shared" si="72"/>
        <v>3.517036065634649</v>
      </c>
      <c r="X90" s="28">
        <f t="shared" si="73"/>
        <v>2146.0318217503764</v>
      </c>
      <c r="Y90" s="28">
        <f t="shared" si="74"/>
        <v>2079.3586903844257</v>
      </c>
      <c r="Z90" s="28">
        <f t="shared" si="75"/>
        <v>2028.6976428296164</v>
      </c>
      <c r="AA90" s="28">
        <f t="shared" si="76"/>
        <v>2001.195709585704</v>
      </c>
      <c r="AB90" s="28">
        <f t="shared" si="77"/>
        <v>2001.3368525061612</v>
      </c>
      <c r="AC90" s="28">
        <f t="shared" si="78"/>
        <v>161.21031642595534</v>
      </c>
      <c r="AD90" s="28">
        <f t="shared" si="79"/>
        <v>141.19347354169193</v>
      </c>
      <c r="AE90" s="28">
        <f t="shared" si="80"/>
        <v>127.76548582631082</v>
      </c>
      <c r="AF90" s="28">
        <f t="shared" si="81"/>
        <v>121.0350220738593</v>
      </c>
      <c r="AG90" s="28">
        <f t="shared" si="82"/>
        <v>121.06862884258751</v>
      </c>
      <c r="AH90" s="25"/>
      <c r="BX90" s="2"/>
    </row>
    <row r="91" spans="1:76" ht="16.5">
      <c r="A91" s="19">
        <v>54</v>
      </c>
      <c r="B91" s="15">
        <v>-0.4787903408554657</v>
      </c>
      <c r="C91" s="11">
        <v>157.24990032700651</v>
      </c>
      <c r="D91" s="4">
        <v>-1.9528091483623131</v>
      </c>
      <c r="E91" s="31">
        <f t="shared" si="56"/>
        <v>2.010647597274081</v>
      </c>
      <c r="F91" s="31">
        <f t="shared" si="57"/>
        <v>0.2256848177494535</v>
      </c>
      <c r="G91" s="31">
        <f t="shared" si="58"/>
        <v>74.12203644921354</v>
      </c>
      <c r="H91" s="31">
        <f t="shared" si="59"/>
        <v>0.9204851041066758</v>
      </c>
      <c r="I91" s="31">
        <f t="shared" si="60"/>
        <v>0.9477481014725812</v>
      </c>
      <c r="J91" s="31">
        <f t="shared" si="61"/>
        <v>3.7907951698821356</v>
      </c>
      <c r="K91" s="31">
        <f t="shared" si="62"/>
        <v>6.278378544485368</v>
      </c>
      <c r="L91" s="31">
        <f t="shared" si="63"/>
        <v>141.59856923850467</v>
      </c>
      <c r="M91" s="31">
        <f t="shared" si="64"/>
        <v>10.840007734846374</v>
      </c>
      <c r="N91" s="31">
        <f t="shared" si="65"/>
        <v>2445.061403264745</v>
      </c>
      <c r="O91" s="31">
        <f t="shared" si="66"/>
        <v>2232.0394048300686</v>
      </c>
      <c r="P91" s="31">
        <f t="shared" si="67"/>
        <v>4835.81776361265</v>
      </c>
      <c r="Q91" s="4">
        <f t="shared" si="83"/>
        <v>0.038149120283486736</v>
      </c>
      <c r="R91" s="25"/>
      <c r="S91" s="28">
        <f t="shared" si="68"/>
        <v>4.217194642099959</v>
      </c>
      <c r="T91" s="28">
        <f t="shared" si="69"/>
        <v>3.9679433320392272</v>
      </c>
      <c r="U91" s="28">
        <f t="shared" si="70"/>
        <v>3.7907951698821356</v>
      </c>
      <c r="V91" s="28">
        <f t="shared" si="71"/>
        <v>3.6961320120550476</v>
      </c>
      <c r="W91" s="28">
        <f t="shared" si="72"/>
        <v>3.6903070032022622</v>
      </c>
      <c r="X91" s="28">
        <f t="shared" si="73"/>
        <v>2166.4693634410173</v>
      </c>
      <c r="Y91" s="28">
        <f t="shared" si="74"/>
        <v>2111.228701934377</v>
      </c>
      <c r="Z91" s="28">
        <f t="shared" si="75"/>
        <v>2069.6233551764813</v>
      </c>
      <c r="AA91" s="28">
        <f t="shared" si="76"/>
        <v>2046.5680540777366</v>
      </c>
      <c r="AB91" s="28">
        <f t="shared" si="77"/>
        <v>2045.1303370454714</v>
      </c>
      <c r="AC91" s="28">
        <f t="shared" si="78"/>
        <v>167.9618174667421</v>
      </c>
      <c r="AD91" s="28">
        <f t="shared" si="79"/>
        <v>150.4006786083235</v>
      </c>
      <c r="AE91" s="28">
        <f t="shared" si="80"/>
        <v>138.5026520682865</v>
      </c>
      <c r="AF91" s="28">
        <f t="shared" si="81"/>
        <v>132.34327873012714</v>
      </c>
      <c r="AG91" s="28">
        <f t="shared" si="82"/>
        <v>131.96878560178106</v>
      </c>
      <c r="AH91" s="25"/>
      <c r="BX91" s="2"/>
    </row>
    <row r="92" spans="1:76" ht="16.5">
      <c r="A92" s="15">
        <f>J28</f>
        <v>55.21613681534294</v>
      </c>
      <c r="B92" s="15">
        <v>-0.4635021370273096</v>
      </c>
      <c r="C92" s="11">
        <v>140.2893426549694</v>
      </c>
      <c r="D92" s="4">
        <v>-2.0562244163677725</v>
      </c>
      <c r="E92" s="31">
        <f t="shared" si="56"/>
        <v>2.1078171366358776</v>
      </c>
      <c r="F92" s="31">
        <f t="shared" si="57"/>
        <v>0.21847849965934932</v>
      </c>
      <c r="G92" s="31">
        <f t="shared" si="58"/>
        <v>66.12742995756275</v>
      </c>
      <c r="H92" s="31">
        <f t="shared" si="59"/>
        <v>0.969231400597583</v>
      </c>
      <c r="I92" s="31">
        <f t="shared" si="60"/>
        <v>0.9935503825764211</v>
      </c>
      <c r="J92" s="31">
        <f t="shared" si="61"/>
        <v>3.9739947623774876</v>
      </c>
      <c r="K92" s="31">
        <f t="shared" si="62"/>
        <v>5.883831381362361</v>
      </c>
      <c r="L92" s="31">
        <f t="shared" si="63"/>
        <v>129.79137490541459</v>
      </c>
      <c r="M92" s="31">
        <f t="shared" si="64"/>
        <v>12.018520644558993</v>
      </c>
      <c r="N92" s="31">
        <f t="shared" si="65"/>
        <v>2687.0992870519144</v>
      </c>
      <c r="O92" s="31">
        <f t="shared" si="66"/>
        <v>2281.394636575839</v>
      </c>
      <c r="P92" s="31">
        <f t="shared" si="67"/>
        <v>5116.18765055909</v>
      </c>
      <c r="Q92" s="4">
        <f>P92*J$31*(A92-A91)</f>
        <v>0.04908440176490279</v>
      </c>
      <c r="R92" s="25"/>
      <c r="S92" s="28">
        <f t="shared" si="68"/>
        <v>4.318736945439371</v>
      </c>
      <c r="T92" s="28">
        <f t="shared" si="69"/>
        <v>4.117904332870512</v>
      </c>
      <c r="U92" s="28">
        <f t="shared" si="70"/>
        <v>3.9739947623774876</v>
      </c>
      <c r="V92" s="28">
        <f t="shared" si="71"/>
        <v>3.8933255237769266</v>
      </c>
      <c r="W92" s="28">
        <f t="shared" si="72"/>
        <v>3.879843280693342</v>
      </c>
      <c r="X92" s="28">
        <f t="shared" si="73"/>
        <v>2187.898037581123</v>
      </c>
      <c r="Y92" s="28">
        <f t="shared" si="74"/>
        <v>2144.918175663897</v>
      </c>
      <c r="Z92" s="28">
        <f t="shared" si="75"/>
        <v>2112.6150850921804</v>
      </c>
      <c r="AA92" s="28">
        <f t="shared" si="76"/>
        <v>2093.945547191312</v>
      </c>
      <c r="AB92" s="28">
        <f t="shared" si="77"/>
        <v>2090.7854221512584</v>
      </c>
      <c r="AC92" s="28">
        <f t="shared" si="78"/>
        <v>175.39098269988912</v>
      </c>
      <c r="AD92" s="28">
        <f t="shared" si="79"/>
        <v>160.85133365422436</v>
      </c>
      <c r="AE92" s="28">
        <f t="shared" si="80"/>
        <v>150.81567568904265</v>
      </c>
      <c r="AF92" s="28">
        <f t="shared" si="81"/>
        <v>145.32997492393278</v>
      </c>
      <c r="AG92" s="28">
        <f t="shared" si="82"/>
        <v>144.42294823233374</v>
      </c>
      <c r="AH92" s="25"/>
      <c r="BX92" s="2"/>
    </row>
    <row r="93" spans="2:76" ht="16.5">
      <c r="B93" s="15"/>
      <c r="D93" s="4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R93" s="2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30"/>
      <c r="AE93" s="30"/>
      <c r="AF93" s="30"/>
      <c r="AG93" s="30"/>
      <c r="AH93" s="25"/>
      <c r="BX93" s="2"/>
    </row>
    <row r="94" spans="1:76" ht="16.5">
      <c r="A94" s="15">
        <f>I29</f>
        <v>66.20526072708387</v>
      </c>
      <c r="B94" s="15">
        <v>-0.3268494801752908</v>
      </c>
      <c r="C94" s="11">
        <v>103.8678988060364</v>
      </c>
      <c r="D94" s="4">
        <v>-1.4315649793308114</v>
      </c>
      <c r="E94" s="31">
        <f aca="true" t="shared" si="84" ref="E94:E101">SQRT(B94^2+D94^2)</f>
        <v>1.468403511551673</v>
      </c>
      <c r="F94" s="31">
        <f aca="true" t="shared" si="85" ref="F94:F101">-B94*$E$26*(1-$E$30)/$E$27/$E$31</f>
        <v>0.15406527465250566</v>
      </c>
      <c r="G94" s="31">
        <f aca="true" t="shared" si="86" ref="G94:G101">C94*$E$26*(1-$E$30)/$E$27/$E$31</f>
        <v>48.95965062740344</v>
      </c>
      <c r="H94" s="31">
        <f aca="true" t="shared" si="87" ref="H94:H101">-D94*$E$26*(1-$E$30)/$E$27/$E$31</f>
        <v>0.6747890545985441</v>
      </c>
      <c r="I94" s="31">
        <f aca="true" t="shared" si="88" ref="I94:I101">E94*$E$26*(1-$E$30)/$E$27/$E$31</f>
        <v>0.6921534346225183</v>
      </c>
      <c r="J94" s="31">
        <f aca="true" t="shared" si="89" ref="J94:J101">E94*E$26/E$27</f>
        <v>2.768469694328669</v>
      </c>
      <c r="K94" s="31">
        <f aca="true" t="shared" si="90" ref="K94:K101">E$33*E$13/120*E$5*F94^2/E$6*E$3*E$8*(E$8-1)/E$4</f>
        <v>2.9258518622257585</v>
      </c>
      <c r="L94" s="31">
        <f aca="true" t="shared" si="91" ref="L94:L101">E$33*E$13/6*F94^2*E$3/E$7/E$4*SQRT(E$5^2+16*E$3^2)*(1+(G94*E$3/F94)^2/15)</f>
        <v>65.37564951201519</v>
      </c>
      <c r="M94" s="31">
        <f aca="true" t="shared" si="92" ref="M94:M101">E$34*E$13*H94^2/8*E$4/E$7/E$3*SQRT(E$5^2+16*E$3^2)</f>
        <v>5.825485443447307</v>
      </c>
      <c r="N94" s="31">
        <f aca="true" t="shared" si="93" ref="N94:N101">E$33*2*E$13*E$14*I94^2/E$12*E$19</f>
        <v>1304.0933505238916</v>
      </c>
      <c r="O94" s="31">
        <f aca="true" t="shared" si="94" ref="O94:O101">(X94+AC94+Y94+AD94+Z94+AE94+AA94+AF94+AB94+AG94)/5</f>
        <v>1884.2643621597647</v>
      </c>
      <c r="P94" s="31">
        <f aca="true" t="shared" si="95" ref="P94:P101">SUM(K94:O94)</f>
        <v>3262.4846995013445</v>
      </c>
      <c r="Q94" s="4">
        <f>P94*J$31*(A95-A94)</f>
        <v>0.020454447804994797</v>
      </c>
      <c r="R94" s="25"/>
      <c r="S94" s="28">
        <f aca="true" t="shared" si="96" ref="S94:S101">SQRT(($B94-$C94*0.8*$E$3)^2+$D94^2)*$E$26/$E$27</f>
        <v>3.0306194245463236</v>
      </c>
      <c r="T94" s="28">
        <f aca="true" t="shared" si="97" ref="T94:T101">SQRT(($B94-$C94*0.4*$E$3)^2+$D94^2)*$E$26/$E$27</f>
        <v>2.877380008107919</v>
      </c>
      <c r="U94" s="28">
        <f aca="true" t="shared" si="98" ref="U94:U101">SQRT(($B94)^2+$D94^2)*$E$26/$E$27</f>
        <v>2.768469694328669</v>
      </c>
      <c r="V94" s="28">
        <f aca="true" t="shared" si="99" ref="V94:V101">SQRT(($B94+$C94*0.4*$E$3)^2+$D94^2)*$E$26/$E$27</f>
        <v>2.7092398026953863</v>
      </c>
      <c r="W94" s="28">
        <f aca="true" t="shared" si="100" ref="W94:W101">SQRT(($B94+$C94*0.8*$E$3)^2+$D94^2)*$E$26/$E$27</f>
        <v>2.7029582481675725</v>
      </c>
      <c r="X94" s="28">
        <f aca="true" t="shared" si="101" ref="X94:AB101">$E$35*$E$13*$E$14*$E$16/$E$31*2/3*$E$20/PI()*($E$21*$E$22*LN((S94+$E$22)/($E$30*S94+$E$22))+$E$23*S94*(1-$E$30)+$E$24*S94^2/2*(1-$E$30^2))</f>
        <v>1867.2401121307396</v>
      </c>
      <c r="Y94" s="28">
        <f t="shared" si="101"/>
        <v>1821.3469415318073</v>
      </c>
      <c r="Z94" s="28">
        <f t="shared" si="101"/>
        <v>1787.5881902617468</v>
      </c>
      <c r="AA94" s="28">
        <f t="shared" si="101"/>
        <v>1768.8162914396141</v>
      </c>
      <c r="AB94" s="28">
        <f t="shared" si="101"/>
        <v>1766.8080665905618</v>
      </c>
      <c r="AC94" s="28">
        <f aca="true" t="shared" si="102" ref="AC94:AG101">1/18/PI()*$E$20/$E$31*S94*$E$25^2*(3*S94+4*$G$22)/($G$21*$G$22*16*$E$13*$E$14*$E$16*$E$3^2*$E$4^2)</f>
        <v>92.94587715260742</v>
      </c>
      <c r="AD94" s="28">
        <f t="shared" si="102"/>
        <v>84.84275882442043</v>
      </c>
      <c r="AE94" s="28">
        <f t="shared" si="102"/>
        <v>79.3040883241688</v>
      </c>
      <c r="AF94" s="28">
        <f t="shared" si="102"/>
        <v>76.36880313907086</v>
      </c>
      <c r="AG94" s="28">
        <f t="shared" si="102"/>
        <v>76.06068140408547</v>
      </c>
      <c r="AH94" s="25"/>
      <c r="BX94" s="2"/>
    </row>
    <row r="95" spans="1:76" ht="16.5">
      <c r="A95" s="19">
        <v>67</v>
      </c>
      <c r="B95" s="15">
        <v>-0.3163960523853646</v>
      </c>
      <c r="C95" s="11">
        <v>116.97068031077002</v>
      </c>
      <c r="D95" s="4">
        <v>-1.5031113978909254</v>
      </c>
      <c r="E95" s="31">
        <f t="shared" si="84"/>
        <v>1.536050238903225</v>
      </c>
      <c r="F95" s="31">
        <f t="shared" si="85"/>
        <v>0.1491378988382581</v>
      </c>
      <c r="G95" s="31">
        <f t="shared" si="86"/>
        <v>55.135837997063405</v>
      </c>
      <c r="H95" s="31">
        <f t="shared" si="87"/>
        <v>0.7085135036016617</v>
      </c>
      <c r="I95" s="31">
        <f t="shared" si="88"/>
        <v>0.7240397072369668</v>
      </c>
      <c r="J95" s="31">
        <f t="shared" si="89"/>
        <v>2.8960081489291953</v>
      </c>
      <c r="K95" s="31">
        <f t="shared" si="90"/>
        <v>2.7416931629852126</v>
      </c>
      <c r="L95" s="31">
        <f t="shared" si="91"/>
        <v>64.23636611879274</v>
      </c>
      <c r="M95" s="31">
        <f t="shared" si="92"/>
        <v>6.422325695743754</v>
      </c>
      <c r="N95" s="31">
        <f t="shared" si="93"/>
        <v>1427.0155055663258</v>
      </c>
      <c r="O95" s="31">
        <f t="shared" si="94"/>
        <v>1933.5574845130625</v>
      </c>
      <c r="P95" s="31">
        <f t="shared" si="95"/>
        <v>3433.9733750569103</v>
      </c>
      <c r="Q95" s="4">
        <f aca="true" t="shared" si="103" ref="Q95:Q100">P95*J$31</f>
        <v>0.027090157185218185</v>
      </c>
      <c r="R95" s="25"/>
      <c r="S95" s="28">
        <f t="shared" si="96"/>
        <v>3.1855232808572227</v>
      </c>
      <c r="T95" s="28">
        <f t="shared" si="97"/>
        <v>3.0138076983492335</v>
      </c>
      <c r="U95" s="28">
        <f t="shared" si="98"/>
        <v>2.8960081489291953</v>
      </c>
      <c r="V95" s="28">
        <f t="shared" si="99"/>
        <v>2.8388444200041953</v>
      </c>
      <c r="W95" s="28">
        <f t="shared" si="100"/>
        <v>2.8459726227782074</v>
      </c>
      <c r="X95" s="28">
        <f t="shared" si="101"/>
        <v>1911.8024868554996</v>
      </c>
      <c r="Y95" s="28">
        <f t="shared" si="101"/>
        <v>1862.2945968388813</v>
      </c>
      <c r="Z95" s="28">
        <f t="shared" si="101"/>
        <v>1827.0247191345395</v>
      </c>
      <c r="AA95" s="28">
        <f t="shared" si="101"/>
        <v>1809.5128106900559</v>
      </c>
      <c r="AB95" s="28">
        <f t="shared" si="101"/>
        <v>1811.7109129377993</v>
      </c>
      <c r="AC95" s="28">
        <f t="shared" si="102"/>
        <v>101.50544657114078</v>
      </c>
      <c r="AD95" s="28">
        <f t="shared" si="102"/>
        <v>92.03918935263899</v>
      </c>
      <c r="AE95" s="28">
        <f t="shared" si="102"/>
        <v>85.80843748797324</v>
      </c>
      <c r="AF95" s="28">
        <f t="shared" si="102"/>
        <v>82.86208576597407</v>
      </c>
      <c r="AG95" s="28">
        <f t="shared" si="102"/>
        <v>83.22673693081038</v>
      </c>
      <c r="AH95" s="25"/>
      <c r="BX95" s="2"/>
    </row>
    <row r="96" spans="1:76" ht="16.5">
      <c r="A96" s="19">
        <v>68</v>
      </c>
      <c r="B96" s="15">
        <v>-0.3060447855019479</v>
      </c>
      <c r="C96" s="11">
        <v>124.38540401609183</v>
      </c>
      <c r="D96" s="4">
        <v>-1.6262178333673354</v>
      </c>
      <c r="E96" s="31">
        <f t="shared" si="84"/>
        <v>1.6547651955171416</v>
      </c>
      <c r="F96" s="31">
        <f t="shared" si="85"/>
        <v>0.14425867805889603</v>
      </c>
      <c r="G96" s="31">
        <f t="shared" si="86"/>
        <v>58.63087627437747</v>
      </c>
      <c r="H96" s="31">
        <f t="shared" si="87"/>
        <v>0.7665415193812564</v>
      </c>
      <c r="I96" s="31">
        <f t="shared" si="88"/>
        <v>0.7799977353368567</v>
      </c>
      <c r="J96" s="31">
        <f t="shared" si="89"/>
        <v>3.1198286158946242</v>
      </c>
      <c r="K96" s="31">
        <f t="shared" si="90"/>
        <v>2.565232331535536</v>
      </c>
      <c r="L96" s="31">
        <f t="shared" si="91"/>
        <v>62.32593698433697</v>
      </c>
      <c r="M96" s="31">
        <f t="shared" si="92"/>
        <v>7.517396004003422</v>
      </c>
      <c r="N96" s="31">
        <f t="shared" si="93"/>
        <v>1656.1154447578301</v>
      </c>
      <c r="O96" s="31">
        <f t="shared" si="94"/>
        <v>2012.1116357390788</v>
      </c>
      <c r="P96" s="31">
        <f t="shared" si="95"/>
        <v>3740.6356458167847</v>
      </c>
      <c r="Q96" s="4">
        <f t="shared" si="103"/>
        <v>0.029509374869899057</v>
      </c>
      <c r="R96" s="25"/>
      <c r="S96" s="28">
        <f t="shared" si="96"/>
        <v>3.4087636839762387</v>
      </c>
      <c r="T96" s="28">
        <f t="shared" si="97"/>
        <v>3.2354654517141097</v>
      </c>
      <c r="U96" s="28">
        <f t="shared" si="98"/>
        <v>3.1198286158946242</v>
      </c>
      <c r="V96" s="28">
        <f t="shared" si="99"/>
        <v>3.068379305619401</v>
      </c>
      <c r="W96" s="28">
        <f t="shared" si="100"/>
        <v>3.084331305328738</v>
      </c>
      <c r="X96" s="28">
        <f t="shared" si="101"/>
        <v>1972.9422894208183</v>
      </c>
      <c r="Y96" s="28">
        <f t="shared" si="101"/>
        <v>1925.7907053218833</v>
      </c>
      <c r="Z96" s="28">
        <f t="shared" si="101"/>
        <v>1893.1230054092055</v>
      </c>
      <c r="AA96" s="28">
        <f t="shared" si="101"/>
        <v>1878.2691780339683</v>
      </c>
      <c r="AB96" s="28">
        <f t="shared" si="101"/>
        <v>1882.8959698353935</v>
      </c>
      <c r="AC96" s="28">
        <f t="shared" si="102"/>
        <v>114.4927064912685</v>
      </c>
      <c r="AD96" s="28">
        <f t="shared" si="102"/>
        <v>104.34408294424254</v>
      </c>
      <c r="AE96" s="28">
        <f t="shared" si="102"/>
        <v>97.8301000654169</v>
      </c>
      <c r="AF96" s="28">
        <f t="shared" si="102"/>
        <v>94.99824353922982</v>
      </c>
      <c r="AG96" s="28">
        <f t="shared" si="102"/>
        <v>95.87189763396778</v>
      </c>
      <c r="AH96" s="25"/>
      <c r="BX96" s="2"/>
    </row>
    <row r="97" spans="1:76" ht="16.5">
      <c r="A97" s="19">
        <v>69</v>
      </c>
      <c r="B97" s="15">
        <v>-0.29536781640040477</v>
      </c>
      <c r="C97" s="11">
        <v>126.9506343646594</v>
      </c>
      <c r="D97" s="4">
        <v>-1.7448986966969309</v>
      </c>
      <c r="E97" s="31">
        <f t="shared" si="84"/>
        <v>1.7697213364537907</v>
      </c>
      <c r="F97" s="31">
        <f t="shared" si="85"/>
        <v>0.13922593278359874</v>
      </c>
      <c r="G97" s="31">
        <f t="shared" si="86"/>
        <v>59.84003505286797</v>
      </c>
      <c r="H97" s="31">
        <f t="shared" si="87"/>
        <v>0.822483477113802</v>
      </c>
      <c r="I97" s="31">
        <f t="shared" si="88"/>
        <v>0.8341839907866088</v>
      </c>
      <c r="J97" s="31">
        <f t="shared" si="89"/>
        <v>3.3365623609833897</v>
      </c>
      <c r="K97" s="31">
        <f t="shared" si="90"/>
        <v>2.3893682102361273</v>
      </c>
      <c r="L97" s="31">
        <f t="shared" si="91"/>
        <v>59.47348394535055</v>
      </c>
      <c r="M97" s="31">
        <f t="shared" si="92"/>
        <v>8.654668279916649</v>
      </c>
      <c r="N97" s="31">
        <f t="shared" si="93"/>
        <v>1894.2078214972273</v>
      </c>
      <c r="O97" s="31">
        <f t="shared" si="94"/>
        <v>2083.838794337312</v>
      </c>
      <c r="P97" s="31">
        <f t="shared" si="95"/>
        <v>4048.5641362700426</v>
      </c>
      <c r="Q97" s="4">
        <f t="shared" si="103"/>
        <v>0.03193858159257711</v>
      </c>
      <c r="R97" s="25"/>
      <c r="S97" s="28">
        <f t="shared" si="96"/>
        <v>3.6108061352899727</v>
      </c>
      <c r="T97" s="28">
        <f t="shared" si="97"/>
        <v>3.445046068934807</v>
      </c>
      <c r="U97" s="28">
        <f t="shared" si="98"/>
        <v>3.3365623609833897</v>
      </c>
      <c r="V97" s="28">
        <f t="shared" si="99"/>
        <v>3.291023983745995</v>
      </c>
      <c r="W97" s="28">
        <f t="shared" si="100"/>
        <v>3.3110291203286164</v>
      </c>
      <c r="X97" s="28">
        <f t="shared" si="101"/>
        <v>2025.2849834565138</v>
      </c>
      <c r="Y97" s="28">
        <f t="shared" si="101"/>
        <v>1982.5471326701913</v>
      </c>
      <c r="Z97" s="28">
        <f t="shared" si="101"/>
        <v>1953.5559970239647</v>
      </c>
      <c r="AA97" s="28">
        <f t="shared" si="101"/>
        <v>1941.1397737860923</v>
      </c>
      <c r="AB97" s="28">
        <f t="shared" si="101"/>
        <v>1946.6124039428505</v>
      </c>
      <c r="AC97" s="28">
        <f t="shared" si="102"/>
        <v>126.90998986603009</v>
      </c>
      <c r="AD97" s="28">
        <f t="shared" si="102"/>
        <v>116.6761556679223</v>
      </c>
      <c r="AE97" s="28">
        <f t="shared" si="102"/>
        <v>110.20813879289086</v>
      </c>
      <c r="AF97" s="28">
        <f t="shared" si="102"/>
        <v>107.54718804647156</v>
      </c>
      <c r="AG97" s="28">
        <f t="shared" si="102"/>
        <v>108.71220843363179</v>
      </c>
      <c r="AH97" s="25"/>
      <c r="BX97" s="2"/>
    </row>
    <row r="98" spans="1:76" ht="16.5">
      <c r="A98" s="19">
        <v>70</v>
      </c>
      <c r="B98" s="15">
        <v>-0.2833675986125561</v>
      </c>
      <c r="C98" s="11">
        <v>125.64999275201042</v>
      </c>
      <c r="D98" s="4">
        <v>-1.8630264814476016</v>
      </c>
      <c r="E98" s="31">
        <f t="shared" si="84"/>
        <v>1.8844534662650807</v>
      </c>
      <c r="F98" s="31">
        <f t="shared" si="85"/>
        <v>0.13356945491989447</v>
      </c>
      <c r="G98" s="31">
        <f t="shared" si="86"/>
        <v>59.22695863870394</v>
      </c>
      <c r="H98" s="31">
        <f t="shared" si="87"/>
        <v>0.8781647331829374</v>
      </c>
      <c r="I98" s="31">
        <f t="shared" si="88"/>
        <v>0.8882646553217443</v>
      </c>
      <c r="J98" s="31">
        <f t="shared" si="89"/>
        <v>3.5528737643882304</v>
      </c>
      <c r="K98" s="31">
        <f t="shared" si="90"/>
        <v>2.199161460744756</v>
      </c>
      <c r="L98" s="31">
        <f t="shared" si="91"/>
        <v>55.53398240235787</v>
      </c>
      <c r="M98" s="31">
        <f t="shared" si="92"/>
        <v>9.866157550936416</v>
      </c>
      <c r="N98" s="31">
        <f t="shared" si="93"/>
        <v>2147.774525740515</v>
      </c>
      <c r="O98" s="31">
        <f t="shared" si="94"/>
        <v>2151.8450506570343</v>
      </c>
      <c r="P98" s="31">
        <f t="shared" si="95"/>
        <v>4367.218877811589</v>
      </c>
      <c r="Q98" s="4">
        <f t="shared" si="103"/>
        <v>0.034452406277089266</v>
      </c>
      <c r="R98" s="25"/>
      <c r="S98" s="28">
        <f t="shared" si="96"/>
        <v>3.8023867797343316</v>
      </c>
      <c r="T98" s="28">
        <f t="shared" si="97"/>
        <v>3.650754557555209</v>
      </c>
      <c r="U98" s="28">
        <f t="shared" si="98"/>
        <v>3.5528737643882304</v>
      </c>
      <c r="V98" s="28">
        <f t="shared" si="99"/>
        <v>3.513239909428707</v>
      </c>
      <c r="W98" s="28">
        <f t="shared" si="100"/>
        <v>3.5338133603917763</v>
      </c>
      <c r="X98" s="28">
        <f t="shared" si="101"/>
        <v>2072.406738266582</v>
      </c>
      <c r="Y98" s="28">
        <f t="shared" si="101"/>
        <v>2035.3092057723445</v>
      </c>
      <c r="Z98" s="28">
        <f t="shared" si="101"/>
        <v>2010.5592767712078</v>
      </c>
      <c r="AA98" s="28">
        <f t="shared" si="101"/>
        <v>2000.3548647088307</v>
      </c>
      <c r="AB98" s="28">
        <f t="shared" si="101"/>
        <v>2005.6651014417848</v>
      </c>
      <c r="AC98" s="28">
        <f t="shared" si="102"/>
        <v>139.26638118902017</v>
      </c>
      <c r="AD98" s="28">
        <f t="shared" si="102"/>
        <v>129.43978999234523</v>
      </c>
      <c r="AE98" s="28">
        <f t="shared" si="102"/>
        <v>123.285095457285</v>
      </c>
      <c r="AF98" s="28">
        <f t="shared" si="102"/>
        <v>120.83500798961208</v>
      </c>
      <c r="AG98" s="28">
        <f t="shared" si="102"/>
        <v>122.10379169615814</v>
      </c>
      <c r="AH98" s="25"/>
      <c r="BX98" s="2"/>
    </row>
    <row r="99" spans="1:76" ht="16.5">
      <c r="A99" s="19">
        <v>71</v>
      </c>
      <c r="B99" s="15">
        <v>-0.2699889150048618</v>
      </c>
      <c r="C99" s="11">
        <v>120.61920848467275</v>
      </c>
      <c r="D99" s="4">
        <v>-1.9834856507491039</v>
      </c>
      <c r="E99" s="31">
        <f t="shared" si="84"/>
        <v>2.0017765462091663</v>
      </c>
      <c r="F99" s="31">
        <f t="shared" si="85"/>
        <v>0.1272632170656902</v>
      </c>
      <c r="G99" s="31">
        <f t="shared" si="86"/>
        <v>56.855625022235564</v>
      </c>
      <c r="H99" s="31">
        <f t="shared" si="87"/>
        <v>0.9349449213995304</v>
      </c>
      <c r="I99" s="31">
        <f t="shared" si="88"/>
        <v>0.9435666020311885</v>
      </c>
      <c r="J99" s="31">
        <f t="shared" si="89"/>
        <v>3.774070042329079</v>
      </c>
      <c r="K99" s="31">
        <f t="shared" si="90"/>
        <v>1.9964047924738022</v>
      </c>
      <c r="L99" s="31">
        <f t="shared" si="91"/>
        <v>50.594365900147245</v>
      </c>
      <c r="M99" s="31">
        <f t="shared" si="92"/>
        <v>11.183252125072382</v>
      </c>
      <c r="N99" s="31">
        <f t="shared" si="93"/>
        <v>2423.533597524442</v>
      </c>
      <c r="O99" s="31">
        <f t="shared" si="94"/>
        <v>2218.211705316972</v>
      </c>
      <c r="P99" s="31">
        <f t="shared" si="95"/>
        <v>4705.519325659107</v>
      </c>
      <c r="Q99" s="4">
        <f t="shared" si="103"/>
        <v>0.03712121331403</v>
      </c>
      <c r="R99" s="25"/>
      <c r="S99" s="28">
        <f t="shared" si="96"/>
        <v>3.990994349846246</v>
      </c>
      <c r="T99" s="28">
        <f t="shared" si="97"/>
        <v>3.8587533756996217</v>
      </c>
      <c r="U99" s="28">
        <f t="shared" si="98"/>
        <v>3.774070042329079</v>
      </c>
      <c r="V99" s="28">
        <f t="shared" si="99"/>
        <v>3.7401760801200803</v>
      </c>
      <c r="W99" s="28">
        <f t="shared" si="100"/>
        <v>3.7584458080652197</v>
      </c>
      <c r="X99" s="28">
        <f t="shared" si="101"/>
        <v>2116.4975055761065</v>
      </c>
      <c r="Y99" s="28">
        <f t="shared" si="101"/>
        <v>2085.819063024697</v>
      </c>
      <c r="Z99" s="28">
        <f t="shared" si="101"/>
        <v>2065.5920925031587</v>
      </c>
      <c r="AA99" s="28">
        <f t="shared" si="101"/>
        <v>2057.367284876166</v>
      </c>
      <c r="AB99" s="28">
        <f t="shared" si="101"/>
        <v>2061.8098952322885</v>
      </c>
      <c r="AC99" s="28">
        <f t="shared" si="102"/>
        <v>151.98450393811692</v>
      </c>
      <c r="AD99" s="28">
        <f t="shared" si="102"/>
        <v>143.00973907225824</v>
      </c>
      <c r="AE99" s="28">
        <f t="shared" si="102"/>
        <v>137.40434971398227</v>
      </c>
      <c r="AF99" s="28">
        <f t="shared" si="102"/>
        <v>135.1918507105873</v>
      </c>
      <c r="AG99" s="28">
        <f t="shared" si="102"/>
        <v>136.38224193749468</v>
      </c>
      <c r="AH99" s="25"/>
      <c r="BX99" s="2"/>
    </row>
    <row r="100" spans="1:76" ht="16.5">
      <c r="A100" s="19">
        <v>72</v>
      </c>
      <c r="B100" s="15">
        <v>-0.25583793143957845</v>
      </c>
      <c r="C100" s="11">
        <v>111.28668841819632</v>
      </c>
      <c r="D100" s="4">
        <v>-2.108555433516901</v>
      </c>
      <c r="E100" s="31">
        <f t="shared" si="84"/>
        <v>2.1240195534356383</v>
      </c>
      <c r="F100" s="31">
        <f t="shared" si="85"/>
        <v>0.12059294435049656</v>
      </c>
      <c r="G100" s="31">
        <f t="shared" si="86"/>
        <v>52.45660542927</v>
      </c>
      <c r="H100" s="31">
        <f t="shared" si="87"/>
        <v>0.9938983895908088</v>
      </c>
      <c r="I100" s="31">
        <f t="shared" si="88"/>
        <v>1.0011876282986745</v>
      </c>
      <c r="J100" s="31">
        <f t="shared" si="89"/>
        <v>4.004542155878078</v>
      </c>
      <c r="K100" s="31">
        <f t="shared" si="90"/>
        <v>1.7926132677307651</v>
      </c>
      <c r="L100" s="31">
        <f t="shared" si="91"/>
        <v>44.864109272381235</v>
      </c>
      <c r="M100" s="31">
        <f t="shared" si="92"/>
        <v>12.638049038933174</v>
      </c>
      <c r="N100" s="31">
        <f t="shared" si="93"/>
        <v>2728.5685724137334</v>
      </c>
      <c r="O100" s="31">
        <f t="shared" si="94"/>
        <v>2284.3763342105085</v>
      </c>
      <c r="P100" s="31">
        <f t="shared" si="95"/>
        <v>5072.2396782032865</v>
      </c>
      <c r="Q100" s="4">
        <f t="shared" si="103"/>
        <v>0.04001422118229158</v>
      </c>
      <c r="R100" s="25"/>
      <c r="S100" s="28">
        <f t="shared" si="96"/>
        <v>4.182220354190608</v>
      </c>
      <c r="T100" s="28">
        <f t="shared" si="97"/>
        <v>4.073935787457807</v>
      </c>
      <c r="U100" s="28">
        <f t="shared" si="98"/>
        <v>4.004542155878078</v>
      </c>
      <c r="V100" s="28">
        <f t="shared" si="99"/>
        <v>3.976076247336285</v>
      </c>
      <c r="W100" s="28">
        <f t="shared" si="100"/>
        <v>3.9894142602155136</v>
      </c>
      <c r="X100" s="28">
        <f t="shared" si="101"/>
        <v>2158.9459868674057</v>
      </c>
      <c r="Y100" s="28">
        <f t="shared" si="101"/>
        <v>2135.183618240674</v>
      </c>
      <c r="Z100" s="28">
        <f t="shared" si="101"/>
        <v>2119.578752450447</v>
      </c>
      <c r="AA100" s="28">
        <f t="shared" si="101"/>
        <v>2113.0914265702145</v>
      </c>
      <c r="AB100" s="28">
        <f t="shared" si="101"/>
        <v>2116.137396433381</v>
      </c>
      <c r="AC100" s="28">
        <f t="shared" si="102"/>
        <v>165.43983866979715</v>
      </c>
      <c r="AD100" s="28">
        <f t="shared" si="102"/>
        <v>157.75123087826634</v>
      </c>
      <c r="AE100" s="28">
        <f t="shared" si="102"/>
        <v>152.91919498605515</v>
      </c>
      <c r="AF100" s="28">
        <f t="shared" si="102"/>
        <v>150.95855115152452</v>
      </c>
      <c r="AG100" s="28">
        <f t="shared" si="102"/>
        <v>151.87567480477648</v>
      </c>
      <c r="AH100" s="25"/>
      <c r="BX100" s="2"/>
    </row>
    <row r="101" spans="1:76" ht="16.5">
      <c r="A101" s="15">
        <f>J29</f>
        <v>73.17120452647318</v>
      </c>
      <c r="B101" s="15">
        <v>-0.24045827362357386</v>
      </c>
      <c r="C101" s="11">
        <v>96.65180988093557</v>
      </c>
      <c r="D101" s="4">
        <v>-2.240046943380341</v>
      </c>
      <c r="E101" s="31">
        <f t="shared" si="84"/>
        <v>2.252915997080592</v>
      </c>
      <c r="F101" s="31">
        <f t="shared" si="85"/>
        <v>0.11334351808794431</v>
      </c>
      <c r="G101" s="31">
        <f t="shared" si="86"/>
        <v>45.55824175391731</v>
      </c>
      <c r="H101" s="31">
        <f t="shared" si="87"/>
        <v>1.0558788326091637</v>
      </c>
      <c r="I101" s="31">
        <f t="shared" si="88"/>
        <v>1.0619448489656336</v>
      </c>
      <c r="J101" s="31">
        <f t="shared" si="89"/>
        <v>4.2475583943510555</v>
      </c>
      <c r="K101" s="31">
        <f t="shared" si="90"/>
        <v>1.5835660634601745</v>
      </c>
      <c r="L101" s="31">
        <f t="shared" si="91"/>
        <v>38.30055239620392</v>
      </c>
      <c r="M101" s="31">
        <f t="shared" si="92"/>
        <v>14.263438357084253</v>
      </c>
      <c r="N101" s="31">
        <f t="shared" si="93"/>
        <v>3069.7842195566973</v>
      </c>
      <c r="O101" s="31">
        <f t="shared" si="94"/>
        <v>2351.3127943592735</v>
      </c>
      <c r="P101" s="31">
        <f t="shared" si="95"/>
        <v>5475.244570732719</v>
      </c>
      <c r="Q101" s="4">
        <f>P101*J$31*(A101-A100)</f>
        <v>0.05058839102021749</v>
      </c>
      <c r="S101" s="28">
        <f t="shared" si="96"/>
        <v>4.380385985675709</v>
      </c>
      <c r="T101" s="28">
        <f t="shared" si="97"/>
        <v>4.299886137147538</v>
      </c>
      <c r="U101" s="28">
        <f t="shared" si="98"/>
        <v>4.2475583943510555</v>
      </c>
      <c r="V101" s="28">
        <f t="shared" si="99"/>
        <v>4.224449780322853</v>
      </c>
      <c r="W101" s="28">
        <f t="shared" si="100"/>
        <v>4.231039079419691</v>
      </c>
      <c r="X101" s="28">
        <f t="shared" si="101"/>
        <v>2200.610053856623</v>
      </c>
      <c r="Y101" s="28">
        <f t="shared" si="101"/>
        <v>2183.9662410181827</v>
      </c>
      <c r="Z101" s="28">
        <f t="shared" si="101"/>
        <v>2172.9414740901593</v>
      </c>
      <c r="AA101" s="28">
        <f t="shared" si="101"/>
        <v>2168.020831425562</v>
      </c>
      <c r="AB101" s="28">
        <f t="shared" si="101"/>
        <v>2169.427181747534</v>
      </c>
      <c r="AC101" s="28">
        <f t="shared" si="102"/>
        <v>179.97908254954325</v>
      </c>
      <c r="AD101" s="28">
        <f t="shared" si="102"/>
        <v>173.9997641905719</v>
      </c>
      <c r="AE101" s="28">
        <f t="shared" si="102"/>
        <v>170.16664615008014</v>
      </c>
      <c r="AF101" s="28">
        <f t="shared" si="102"/>
        <v>168.48734681942094</v>
      </c>
      <c r="AG101" s="28">
        <f t="shared" si="102"/>
        <v>168.96534994868946</v>
      </c>
      <c r="AH101" s="25"/>
      <c r="BX101" s="2"/>
    </row>
    <row r="102" spans="2:34" ht="16.5">
      <c r="B102" s="15"/>
      <c r="D102" s="2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5"/>
      <c r="AE102" s="25"/>
      <c r="AF102" s="25"/>
      <c r="AG102" s="25"/>
      <c r="AH102" s="25"/>
    </row>
    <row r="103" spans="1:34" ht="16.5">
      <c r="A103" s="2" t="s">
        <v>60</v>
      </c>
      <c r="B103" s="15"/>
      <c r="D103" s="2"/>
      <c r="E103" s="31"/>
      <c r="F103" s="31"/>
      <c r="G103" s="31"/>
      <c r="H103" s="31"/>
      <c r="I103" s="31"/>
      <c r="J103" s="31"/>
      <c r="K103" s="31">
        <f aca="true" t="shared" si="104" ref="K103:Q103">SUM(K40:K101)</f>
        <v>718.4926477113686</v>
      </c>
      <c r="L103" s="31">
        <f t="shared" si="104"/>
        <v>15999.134855390104</v>
      </c>
      <c r="M103" s="31">
        <f t="shared" si="104"/>
        <v>231.41780767158818</v>
      </c>
      <c r="N103" s="31">
        <f t="shared" si="104"/>
        <v>65105.064160604794</v>
      </c>
      <c r="O103" s="31">
        <f t="shared" si="104"/>
        <v>103265.40419602986</v>
      </c>
      <c r="P103" s="31">
        <f t="shared" si="104"/>
        <v>185319.51366740774</v>
      </c>
      <c r="Q103" s="4">
        <f t="shared" si="104"/>
        <v>1.4857856127589266</v>
      </c>
      <c r="R103" s="25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>
        <f>SUM(AC40:AC101)/59</f>
        <v>123.80176620221152</v>
      </c>
      <c r="AD103" s="23">
        <f>SUM(AD40:AD101)/59</f>
        <v>90.98934279361464</v>
      </c>
      <c r="AE103" s="23">
        <f>SUM(AE40:AE101)/59</f>
        <v>67.76081163940755</v>
      </c>
      <c r="AF103" s="23">
        <f>SUM(AF40:AF101)/59</f>
        <v>54.516791529951035</v>
      </c>
      <c r="AG103" s="23">
        <f>SUM(AG40:AG101)/59</f>
        <v>52.649362642236035</v>
      </c>
      <c r="AH103" s="25"/>
    </row>
    <row r="104" spans="1:76" ht="16.5">
      <c r="A104" s="2" t="s">
        <v>61</v>
      </c>
      <c r="B104" s="15"/>
      <c r="D104" s="2"/>
      <c r="E104" s="31"/>
      <c r="F104" s="31"/>
      <c r="G104" s="31"/>
      <c r="H104" s="31"/>
      <c r="I104" s="31"/>
      <c r="J104" s="31"/>
      <c r="K104" s="31">
        <f aca="true" t="shared" si="105" ref="K104:P104">K103/$P$103</f>
        <v>0.003877047988593607</v>
      </c>
      <c r="L104" s="31">
        <f t="shared" si="105"/>
        <v>0.08633270473666196</v>
      </c>
      <c r="M104" s="31">
        <f t="shared" si="105"/>
        <v>0.0012487503506344879</v>
      </c>
      <c r="N104" s="31">
        <f t="shared" si="105"/>
        <v>0.3513125135729021</v>
      </c>
      <c r="O104" s="31">
        <f t="shared" si="105"/>
        <v>0.5572289833512077</v>
      </c>
      <c r="P104" s="31">
        <f t="shared" si="105"/>
        <v>1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5"/>
      <c r="AE104" s="25"/>
      <c r="AF104" s="25"/>
      <c r="AG104" s="25"/>
      <c r="AH104" s="25"/>
      <c r="BX104" s="2"/>
    </row>
    <row r="105" spans="2:18" ht="16.5">
      <c r="B105" s="15"/>
      <c r="E105" s="32"/>
      <c r="F105" s="32"/>
      <c r="G105" s="32"/>
      <c r="H105" s="32"/>
      <c r="I105" s="32"/>
      <c r="J105" s="31"/>
      <c r="K105" s="31"/>
      <c r="L105" s="31"/>
      <c r="M105" s="31"/>
      <c r="N105" s="31"/>
      <c r="O105" s="31"/>
      <c r="P105" s="31"/>
      <c r="Q105" s="2"/>
      <c r="R105"/>
    </row>
    <row r="106" spans="2:76" ht="16.5">
      <c r="B106" s="15"/>
      <c r="E106" s="32"/>
      <c r="F106" s="32"/>
      <c r="G106" s="32"/>
      <c r="H106" s="32"/>
      <c r="I106" s="32"/>
      <c r="J106" s="32"/>
      <c r="K106" s="31"/>
      <c r="L106" s="31"/>
      <c r="M106" s="31"/>
      <c r="N106" s="31"/>
      <c r="O106" s="31" t="s">
        <v>83</v>
      </c>
      <c r="P106" s="35">
        <f>MAX(P40:P101)</f>
        <v>5475.244570732719</v>
      </c>
      <c r="R106"/>
      <c r="BX106" s="2"/>
    </row>
    <row r="107" spans="2:76" ht="16.5">
      <c r="B107" s="15"/>
      <c r="E107" s="32"/>
      <c r="F107" s="32"/>
      <c r="G107" s="32"/>
      <c r="H107" s="32"/>
      <c r="I107" s="32"/>
      <c r="J107" s="31"/>
      <c r="K107" s="31"/>
      <c r="L107" s="31"/>
      <c r="M107" s="31"/>
      <c r="N107" s="31"/>
      <c r="O107" s="31" t="s">
        <v>161</v>
      </c>
      <c r="P107" s="31">
        <f>AVERAGE(P40:P101)</f>
        <v>3141.0087062272496</v>
      </c>
      <c r="Q107" s="2"/>
      <c r="R107"/>
      <c r="BX107" s="2"/>
    </row>
    <row r="108" spans="2:76" ht="16.5">
      <c r="B108" s="15"/>
      <c r="E108" s="32"/>
      <c r="F108" s="32"/>
      <c r="G108" s="32"/>
      <c r="H108" s="32"/>
      <c r="I108" s="32"/>
      <c r="J108" s="31"/>
      <c r="K108" s="31"/>
      <c r="L108" s="31"/>
      <c r="M108" s="31"/>
      <c r="N108" s="31"/>
      <c r="O108" s="31"/>
      <c r="P108" s="31"/>
      <c r="Q108" s="2"/>
      <c r="R108"/>
      <c r="BX108" s="2"/>
    </row>
    <row r="109" spans="2:76" ht="16.5">
      <c r="B109" s="15"/>
      <c r="E109" s="32"/>
      <c r="F109" s="32"/>
      <c r="G109" s="32"/>
      <c r="H109" s="32"/>
      <c r="I109" s="32"/>
      <c r="J109" s="31"/>
      <c r="K109" s="31"/>
      <c r="L109" s="31"/>
      <c r="M109" s="31"/>
      <c r="N109" s="31"/>
      <c r="O109" s="31"/>
      <c r="P109" s="31"/>
      <c r="Q109" s="2"/>
      <c r="R109"/>
      <c r="BX109" s="2"/>
    </row>
    <row r="110" spans="2:76" ht="16.5">
      <c r="B110" s="15"/>
      <c r="E110" s="32"/>
      <c r="F110" s="32"/>
      <c r="G110" s="32"/>
      <c r="H110" s="32"/>
      <c r="I110" s="32"/>
      <c r="J110" s="31"/>
      <c r="K110" s="31"/>
      <c r="L110" s="31"/>
      <c r="M110" s="31"/>
      <c r="N110" s="31"/>
      <c r="O110" s="31"/>
      <c r="P110" s="31"/>
      <c r="Q110" s="2"/>
      <c r="R110"/>
      <c r="BX110" s="2"/>
    </row>
    <row r="111" spans="2:76" ht="16.5">
      <c r="B111" s="4"/>
      <c r="E111" s="32"/>
      <c r="F111" s="32"/>
      <c r="G111" s="32"/>
      <c r="H111" s="32"/>
      <c r="I111" s="32"/>
      <c r="J111" s="31"/>
      <c r="K111" s="31"/>
      <c r="L111" s="31"/>
      <c r="M111" s="31"/>
      <c r="N111" s="31"/>
      <c r="O111" s="31"/>
      <c r="P111" s="31"/>
      <c r="Q111" s="2"/>
      <c r="R111"/>
      <c r="BX111" s="2"/>
    </row>
    <row r="112" spans="2:76" ht="16.5">
      <c r="B112" s="4"/>
      <c r="E112" s="32"/>
      <c r="F112" s="32"/>
      <c r="G112" s="32"/>
      <c r="H112" s="32"/>
      <c r="I112" s="32"/>
      <c r="J112" s="31"/>
      <c r="K112" s="31"/>
      <c r="L112" s="31"/>
      <c r="M112" s="31"/>
      <c r="N112" s="31"/>
      <c r="O112" s="31"/>
      <c r="P112" s="31"/>
      <c r="Q112" s="2"/>
      <c r="R112"/>
      <c r="BX112" s="2"/>
    </row>
    <row r="113" spans="2:76" ht="16.5">
      <c r="B113" s="4"/>
      <c r="E113" s="32"/>
      <c r="F113" s="32"/>
      <c r="G113" s="32"/>
      <c r="H113" s="32"/>
      <c r="I113" s="32"/>
      <c r="J113" s="31"/>
      <c r="K113" s="31"/>
      <c r="L113" s="31"/>
      <c r="M113" s="31"/>
      <c r="N113" s="31"/>
      <c r="O113" s="31"/>
      <c r="P113" s="31"/>
      <c r="Q113" s="2"/>
      <c r="R113"/>
      <c r="BX113" s="2"/>
    </row>
    <row r="114" spans="2:76" ht="16.5">
      <c r="B114" s="4"/>
      <c r="E114" s="32"/>
      <c r="F114" s="32"/>
      <c r="G114" s="32"/>
      <c r="H114" s="32"/>
      <c r="I114" s="32"/>
      <c r="J114" s="31"/>
      <c r="K114" s="31"/>
      <c r="L114" s="31"/>
      <c r="M114" s="31"/>
      <c r="N114" s="31"/>
      <c r="O114" s="31"/>
      <c r="P114" s="31"/>
      <c r="Q114" s="2"/>
      <c r="R114"/>
      <c r="BX114" s="2"/>
    </row>
    <row r="115" spans="2:18" ht="16.5">
      <c r="B115" s="4"/>
      <c r="E115" s="32"/>
      <c r="F115" s="32"/>
      <c r="G115" s="32"/>
      <c r="H115" s="32"/>
      <c r="I115" s="32"/>
      <c r="J115" s="31"/>
      <c r="K115" s="31"/>
      <c r="L115" s="31"/>
      <c r="M115" s="31"/>
      <c r="N115" s="31"/>
      <c r="O115" s="31"/>
      <c r="P115" s="31"/>
      <c r="Q115" s="2"/>
      <c r="R115"/>
    </row>
    <row r="116" spans="2:16" ht="16.5">
      <c r="B116" s="4"/>
      <c r="E116" s="32"/>
      <c r="F116" s="32"/>
      <c r="G116" s="32"/>
      <c r="H116" s="32"/>
      <c r="I116" s="32"/>
      <c r="J116" s="31"/>
      <c r="K116" s="31"/>
      <c r="L116" s="31"/>
      <c r="M116" s="31"/>
      <c r="N116" s="31"/>
      <c r="O116" s="31"/>
      <c r="P116" s="31"/>
    </row>
    <row r="117" spans="2:16" ht="16.5">
      <c r="B117" s="4"/>
      <c r="E117" s="32"/>
      <c r="F117" s="32"/>
      <c r="G117" s="32"/>
      <c r="H117" s="32"/>
      <c r="I117" s="32"/>
      <c r="J117" s="31"/>
      <c r="K117" s="31"/>
      <c r="L117" s="31"/>
      <c r="M117" s="31"/>
      <c r="N117" s="31"/>
      <c r="O117" s="31"/>
      <c r="P117" s="31"/>
    </row>
    <row r="118" spans="2:16" ht="16.5">
      <c r="B118" s="4"/>
      <c r="E118" s="32"/>
      <c r="F118" s="32"/>
      <c r="G118" s="32"/>
      <c r="H118" s="32"/>
      <c r="I118" s="32"/>
      <c r="J118" s="31"/>
      <c r="K118" s="31"/>
      <c r="L118" s="31"/>
      <c r="M118" s="31"/>
      <c r="N118" s="31"/>
      <c r="O118" s="31"/>
      <c r="P118" s="31"/>
    </row>
    <row r="119" spans="2:16" ht="16.5">
      <c r="B119" s="4"/>
      <c r="E119" s="32"/>
      <c r="F119" s="32"/>
      <c r="G119" s="32"/>
      <c r="H119" s="32"/>
      <c r="I119" s="32"/>
      <c r="J119" s="31"/>
      <c r="K119" s="31"/>
      <c r="L119" s="31"/>
      <c r="M119" s="31"/>
      <c r="N119" s="31"/>
      <c r="O119" s="31"/>
      <c r="P119" s="31"/>
    </row>
    <row r="120" spans="2:16" ht="16.5">
      <c r="B120" s="4"/>
      <c r="E120" s="32"/>
      <c r="F120" s="32"/>
      <c r="G120" s="32"/>
      <c r="H120" s="32"/>
      <c r="I120" s="32"/>
      <c r="J120" s="31"/>
      <c r="K120" s="31"/>
      <c r="L120" s="31"/>
      <c r="M120" s="31"/>
      <c r="N120" s="31"/>
      <c r="O120" s="31"/>
      <c r="P120" s="31"/>
    </row>
    <row r="121" spans="2:16" ht="16.5">
      <c r="B121" s="4"/>
      <c r="E121" s="32"/>
      <c r="F121" s="32"/>
      <c r="G121" s="32"/>
      <c r="H121" s="32"/>
      <c r="I121" s="32"/>
      <c r="J121" s="31"/>
      <c r="K121" s="31"/>
      <c r="L121" s="31"/>
      <c r="M121" s="31"/>
      <c r="N121" s="31"/>
      <c r="O121" s="31"/>
      <c r="P121" s="31"/>
    </row>
    <row r="122" spans="2:16" ht="16.5">
      <c r="B122" s="4"/>
      <c r="E122" s="32"/>
      <c r="F122" s="32"/>
      <c r="G122" s="32"/>
      <c r="H122" s="32"/>
      <c r="I122" s="32"/>
      <c r="J122" s="31"/>
      <c r="K122" s="31"/>
      <c r="L122" s="31"/>
      <c r="M122" s="31"/>
      <c r="N122" s="31"/>
      <c r="O122" s="31"/>
      <c r="P122" s="31"/>
    </row>
    <row r="123" spans="2:16" ht="16.5">
      <c r="B123" s="4"/>
      <c r="E123" s="31"/>
      <c r="F123" s="32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2:16" ht="16.5">
      <c r="B124" s="4"/>
      <c r="E124" s="31"/>
      <c r="F124" s="32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2:16" ht="16.5">
      <c r="B125" s="4"/>
      <c r="E125" s="31"/>
      <c r="F125" s="32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2:16" ht="16.5">
      <c r="B126" s="4"/>
      <c r="E126" s="31"/>
      <c r="F126" s="32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2:16" ht="16.5">
      <c r="B127" s="4"/>
      <c r="E127" s="31"/>
      <c r="F127" s="32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2:16" ht="16.5">
      <c r="B128" s="4"/>
      <c r="E128" s="31"/>
      <c r="F128" s="32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2:16" ht="16.5">
      <c r="B129" s="4"/>
      <c r="E129" s="31"/>
      <c r="F129" s="32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2:16" ht="16.5">
      <c r="B130" s="4"/>
      <c r="E130" s="31"/>
      <c r="F130" s="32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2:16" ht="16.5">
      <c r="B131" s="4"/>
      <c r="E131" s="31"/>
      <c r="F131" s="32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2:16" ht="16.5">
      <c r="B132" s="4"/>
      <c r="E132" s="31"/>
      <c r="F132" s="32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2:16" ht="16.5">
      <c r="B133" s="4"/>
      <c r="E133" s="31"/>
      <c r="F133" s="32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2:16" ht="16.5">
      <c r="B134" s="4"/>
      <c r="E134" s="31"/>
      <c r="F134" s="32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2:16" ht="16.5">
      <c r="B135" s="4"/>
      <c r="E135" s="31"/>
      <c r="F135" s="32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2:16" ht="16.5">
      <c r="B136" s="4"/>
      <c r="E136" s="31"/>
      <c r="F136" s="32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2:16" ht="16.5">
      <c r="B137" s="4"/>
      <c r="E137" s="31"/>
      <c r="F137" s="32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2:16" ht="16.5">
      <c r="B138" s="4"/>
      <c r="E138" s="31"/>
      <c r="F138" s="32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2:16" ht="16.5">
      <c r="B139" s="4"/>
      <c r="E139" s="31"/>
      <c r="F139" s="32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2:16" ht="16.5">
      <c r="B140" s="4"/>
      <c r="E140" s="31"/>
      <c r="F140" s="32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2:16" ht="16.5">
      <c r="B141" s="4"/>
      <c r="E141" s="31"/>
      <c r="F141" s="32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2:16" ht="16.5">
      <c r="B142" s="4"/>
      <c r="E142" s="31"/>
      <c r="F142" s="32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2:16" ht="16.5">
      <c r="B143" s="4"/>
      <c r="E143" s="31"/>
      <c r="F143" s="32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2:16" ht="16.5">
      <c r="B144" s="4"/>
      <c r="E144" s="31"/>
      <c r="F144" s="32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2:16" ht="16.5">
      <c r="B145" s="4"/>
      <c r="E145" s="31"/>
      <c r="F145" s="32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2:16" ht="16.5">
      <c r="B146" s="4"/>
      <c r="E146" s="31"/>
      <c r="F146" s="32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2:16" ht="16.5">
      <c r="B147" s="4"/>
      <c r="E147" s="31"/>
      <c r="F147" s="32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2:16" ht="16.5">
      <c r="B148" s="4"/>
      <c r="E148" s="31"/>
      <c r="F148" s="32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2:16" ht="16.5">
      <c r="B149" s="4"/>
      <c r="E149" s="31"/>
      <c r="F149" s="32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2:16" ht="16.5">
      <c r="B150" s="4"/>
      <c r="E150" s="31"/>
      <c r="F150" s="32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2:16" ht="16.5">
      <c r="B151" s="4"/>
      <c r="E151" s="31"/>
      <c r="F151" s="32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2:16" ht="16.5">
      <c r="B152" s="4"/>
      <c r="E152" s="31"/>
      <c r="F152" s="32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2:16" ht="16.5">
      <c r="B153" s="4"/>
      <c r="E153" s="31"/>
      <c r="F153" s="32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2:16" ht="16.5">
      <c r="B154" s="4"/>
      <c r="E154" s="31"/>
      <c r="F154" s="32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2:16" ht="16.5">
      <c r="B155" s="4"/>
      <c r="E155" s="31"/>
      <c r="F155" s="32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2:16" ht="16.5">
      <c r="B156" s="4"/>
      <c r="E156" s="31"/>
      <c r="F156" s="32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2:16" ht="16.5">
      <c r="B157" s="4"/>
      <c r="E157" s="31"/>
      <c r="F157" s="32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2:16" ht="16.5">
      <c r="B158" s="4"/>
      <c r="E158" s="31"/>
      <c r="F158" s="32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2:16" ht="16.5">
      <c r="B159" s="4"/>
      <c r="E159" s="31"/>
      <c r="F159" s="32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2:16" ht="16.5">
      <c r="B160" s="4"/>
      <c r="E160" s="31"/>
      <c r="F160" s="32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2:16" ht="16.5">
      <c r="B161" s="4"/>
      <c r="E161" s="31"/>
      <c r="F161" s="32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5:16" ht="16.5">
      <c r="E162" s="31"/>
      <c r="F162" s="32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5:16" ht="16.5">
      <c r="E163" s="31"/>
      <c r="F163" s="32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5:16" ht="16.5">
      <c r="E164" s="31"/>
      <c r="F164" s="32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5:16" ht="16.5">
      <c r="E165" s="31"/>
      <c r="F165" s="32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5:16" ht="16.5">
      <c r="E166" s="31"/>
      <c r="F166" s="32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5:16" ht="16.5">
      <c r="E167" s="31"/>
      <c r="F167" s="32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5:16" ht="16.5">
      <c r="E168" s="31"/>
      <c r="F168" s="32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5:16" ht="16.5">
      <c r="E169" s="31"/>
      <c r="F169" s="32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5:16" ht="16.5">
      <c r="E170" s="31"/>
      <c r="F170" s="32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5:16" ht="16.5">
      <c r="E171" s="31"/>
      <c r="F171" s="32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5:16" ht="16.5">
      <c r="E172" s="31"/>
      <c r="F172" s="32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5:16" ht="16.5">
      <c r="E173" s="31"/>
      <c r="F173" s="32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5:16" ht="16.5">
      <c r="E174" s="31"/>
      <c r="F174" s="32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5:16" ht="16.5">
      <c r="E175" s="31"/>
      <c r="F175" s="32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5:16" ht="16.5">
      <c r="E176" s="31"/>
      <c r="F176" s="32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5:16" ht="16.5">
      <c r="E177" s="31"/>
      <c r="F177" s="32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5:16" ht="16.5">
      <c r="E178" s="31"/>
      <c r="F178" s="32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5:16" ht="16.5">
      <c r="E179" s="31"/>
      <c r="F179" s="32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5:16" ht="16.5">
      <c r="E180" s="31"/>
      <c r="F180" s="32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5:16" ht="16.5">
      <c r="E181" s="31"/>
      <c r="F181" s="32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5:16" ht="16.5">
      <c r="E182" s="31"/>
      <c r="F182" s="32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5:16" ht="16.5">
      <c r="E183" s="31"/>
      <c r="F183" s="32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5:16" ht="16.5">
      <c r="E184" s="31"/>
      <c r="F184" s="32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5:16" ht="16.5">
      <c r="E185" s="31"/>
      <c r="F185" s="32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5:16" ht="16.5">
      <c r="E186" s="31"/>
      <c r="F186" s="32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5:16" ht="16.5">
      <c r="E187" s="31"/>
      <c r="F187" s="32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5:16" ht="16.5">
      <c r="E188" s="31"/>
      <c r="F188" s="32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5:16" ht="16.5">
      <c r="E189" s="31"/>
      <c r="F189" s="32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5:16" ht="16.5">
      <c r="E190" s="31"/>
      <c r="F190" s="32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5:16" ht="16.5">
      <c r="E191" s="31"/>
      <c r="F191" s="32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5:16" ht="16.5">
      <c r="E192" s="31"/>
      <c r="F192" s="32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5:16" ht="16.5">
      <c r="E193" s="31"/>
      <c r="F193" s="32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5:16" ht="16.5">
      <c r="E194" s="31"/>
      <c r="F194" s="32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5:16" ht="16.5">
      <c r="E195" s="31"/>
      <c r="F195" s="32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5:16" ht="16.5">
      <c r="E196" s="31"/>
      <c r="F196" s="32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5:16" ht="16.5">
      <c r="E197" s="31"/>
      <c r="F197" s="32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5:16" ht="16.5">
      <c r="E198" s="31"/>
      <c r="F198" s="32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5:16" ht="16.5">
      <c r="E199" s="31"/>
      <c r="F199" s="32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5:16" ht="16.5">
      <c r="E200" s="31"/>
      <c r="F200" s="32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5:16" ht="16.5">
      <c r="E201" s="31"/>
      <c r="F201" s="32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5:16" ht="16.5">
      <c r="E202" s="31"/>
      <c r="F202" s="32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5:16" ht="16.5">
      <c r="E203" s="31"/>
      <c r="F203" s="32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5:16" ht="16.5">
      <c r="E204" s="31"/>
      <c r="F204" s="32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5:16" ht="16.5">
      <c r="E205" s="31"/>
      <c r="F205" s="32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5:16" ht="16.5">
      <c r="E206" s="31"/>
      <c r="F206" s="32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5:16" ht="16.5">
      <c r="E207" s="31"/>
      <c r="F207" s="32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5:16" ht="16.5">
      <c r="E208" s="31"/>
      <c r="F208" s="32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5:16" ht="16.5">
      <c r="E209" s="31"/>
      <c r="F209" s="32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5:16" ht="16.5">
      <c r="E210" s="31"/>
      <c r="F210" s="32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5:16" ht="16.5">
      <c r="E211" s="31"/>
      <c r="F211" s="32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5:16" ht="16.5">
      <c r="E212" s="31"/>
      <c r="F212" s="32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5:16" ht="16.5">
      <c r="E213" s="31"/>
      <c r="F213" s="32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5:16" ht="16.5">
      <c r="E214" s="31"/>
      <c r="F214" s="32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5:16" ht="16.5">
      <c r="E215" s="31"/>
      <c r="F215" s="32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5:16" ht="16.5">
      <c r="E216" s="31"/>
      <c r="F216" s="32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5:16" ht="16.5">
      <c r="E217" s="31"/>
      <c r="F217" s="32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5:16" ht="16.5">
      <c r="E218" s="31"/>
      <c r="F218" s="32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5:16" ht="16.5">
      <c r="E219" s="31"/>
      <c r="F219" s="32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5:16" ht="16.5">
      <c r="E220" s="31"/>
      <c r="F220" s="32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5:16" ht="16.5">
      <c r="E221" s="31"/>
      <c r="F221" s="32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5:16" ht="16.5">
      <c r="E222" s="31"/>
      <c r="F222" s="32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5:16" ht="16.5">
      <c r="E223" s="31"/>
      <c r="F223" s="32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5:16" ht="16.5">
      <c r="E224" s="31"/>
      <c r="F224" s="32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5:16" ht="16.5">
      <c r="E225" s="31"/>
      <c r="F225" s="32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5:16" ht="16.5">
      <c r="E226" s="31"/>
      <c r="F226" s="32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5:16" ht="16.5">
      <c r="E227" s="31"/>
      <c r="F227" s="32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5:16" ht="16.5">
      <c r="E228" s="31"/>
      <c r="F228" s="32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5:16" ht="16.5">
      <c r="E229" s="31"/>
      <c r="F229" s="32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5:16" ht="16.5">
      <c r="E230" s="31"/>
      <c r="F230" s="32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5:16" ht="16.5">
      <c r="E231" s="31"/>
      <c r="F231" s="32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5:16" ht="16.5">
      <c r="E232" s="31"/>
      <c r="F232" s="32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5:16" ht="16.5">
      <c r="E233" s="31"/>
      <c r="F233" s="32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5:16" ht="16.5">
      <c r="E234" s="31"/>
      <c r="F234" s="32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5:16" ht="16.5">
      <c r="E235" s="31"/>
      <c r="F235" s="32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5:16" ht="16.5">
      <c r="E236" s="31"/>
      <c r="F236" s="32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5:16" ht="16.5">
      <c r="E237" s="31"/>
      <c r="F237" s="32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5:16" ht="16.5">
      <c r="E238" s="31"/>
      <c r="F238" s="32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5:16" ht="16.5">
      <c r="E239" s="31"/>
      <c r="F239" s="32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5:16" ht="16.5">
      <c r="E240" s="31"/>
      <c r="F240" s="32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5:16" ht="16.5">
      <c r="E241" s="31"/>
      <c r="F241" s="32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5:16" ht="16.5">
      <c r="E242" s="31"/>
      <c r="F242" s="32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5:16" ht="16.5">
      <c r="E243" s="31"/>
      <c r="F243" s="32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5:16" ht="16.5">
      <c r="E244" s="31"/>
      <c r="F244" s="32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5:16" ht="16.5">
      <c r="E245" s="31"/>
      <c r="F245" s="32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5:16" ht="16.5">
      <c r="E246" s="31"/>
      <c r="F246" s="32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5:16" ht="16.5">
      <c r="E247" s="31"/>
      <c r="F247" s="32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5:16" ht="16.5">
      <c r="E248" s="31"/>
      <c r="F248" s="32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5:16" ht="16.5">
      <c r="E249" s="31"/>
      <c r="F249" s="32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5:16" ht="16.5">
      <c r="E250" s="31"/>
      <c r="F250" s="32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5:16" ht="16.5">
      <c r="E251" s="31"/>
      <c r="F251" s="32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5:16" ht="16.5">
      <c r="E252" s="31"/>
      <c r="F252" s="32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5:16" ht="16.5">
      <c r="E253" s="31"/>
      <c r="F253" s="32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5:16" ht="16.5">
      <c r="E254" s="31"/>
      <c r="F254" s="32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5:16" ht="16.5">
      <c r="E255" s="31"/>
      <c r="F255" s="32"/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5:16" ht="16.5">
      <c r="E256" s="31"/>
      <c r="F256" s="32"/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5:16" ht="16.5">
      <c r="E257" s="31"/>
      <c r="F257" s="32"/>
      <c r="G257" s="31"/>
      <c r="H257" s="31"/>
      <c r="I257" s="31"/>
      <c r="J257" s="31"/>
      <c r="K257" s="31"/>
      <c r="L257" s="31"/>
      <c r="M257" s="31"/>
      <c r="N257" s="31"/>
      <c r="O257" s="31"/>
      <c r="P257" s="31"/>
    </row>
    <row r="258" spans="5:16" ht="16.5">
      <c r="E258" s="31"/>
      <c r="F258" s="32"/>
      <c r="G258" s="31"/>
      <c r="H258" s="31"/>
      <c r="I258" s="31"/>
      <c r="J258" s="31"/>
      <c r="K258" s="31"/>
      <c r="L258" s="31"/>
      <c r="M258" s="31"/>
      <c r="N258" s="31"/>
      <c r="O258" s="31"/>
      <c r="P258" s="31"/>
    </row>
    <row r="259" spans="5:16" ht="16.5">
      <c r="E259" s="31"/>
      <c r="F259" s="32"/>
      <c r="G259" s="31"/>
      <c r="H259" s="31"/>
      <c r="I259" s="31"/>
      <c r="J259" s="31"/>
      <c r="K259" s="31"/>
      <c r="L259" s="31"/>
      <c r="M259" s="31"/>
      <c r="N259" s="31"/>
      <c r="O259" s="31"/>
      <c r="P259" s="31"/>
    </row>
    <row r="260" spans="5:16" ht="16.5">
      <c r="E260" s="31"/>
      <c r="F260" s="32"/>
      <c r="G260" s="31"/>
      <c r="H260" s="31"/>
      <c r="I260" s="31"/>
      <c r="J260" s="31"/>
      <c r="K260" s="31"/>
      <c r="L260" s="31"/>
      <c r="M260" s="31"/>
      <c r="N260" s="31"/>
      <c r="O260" s="31"/>
      <c r="P260" s="31"/>
    </row>
    <row r="261" spans="5:16" ht="16.5">
      <c r="E261" s="31"/>
      <c r="F261" s="32"/>
      <c r="G261" s="31"/>
      <c r="H261" s="31"/>
      <c r="I261" s="31"/>
      <c r="J261" s="31"/>
      <c r="K261" s="31"/>
      <c r="L261" s="31"/>
      <c r="M261" s="31"/>
      <c r="N261" s="31"/>
      <c r="O261" s="31"/>
      <c r="P261" s="31"/>
    </row>
    <row r="262" spans="5:16" ht="16.5">
      <c r="E262" s="31"/>
      <c r="F262" s="32"/>
      <c r="G262" s="31"/>
      <c r="H262" s="31"/>
      <c r="I262" s="31"/>
      <c r="J262" s="31"/>
      <c r="K262" s="31"/>
      <c r="L262" s="31"/>
      <c r="M262" s="31"/>
      <c r="N262" s="31"/>
      <c r="O262" s="31"/>
      <c r="P262" s="31"/>
    </row>
    <row r="263" spans="5:16" ht="16.5">
      <c r="E263" s="31"/>
      <c r="F263" s="32"/>
      <c r="G263" s="31"/>
      <c r="H263" s="31"/>
      <c r="I263" s="31"/>
      <c r="J263" s="31"/>
      <c r="K263" s="31"/>
      <c r="L263" s="31"/>
      <c r="M263" s="31"/>
      <c r="N263" s="31"/>
      <c r="O263" s="31"/>
      <c r="P263" s="31"/>
    </row>
    <row r="264" spans="5:16" ht="16.5">
      <c r="E264" s="31"/>
      <c r="F264" s="32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5:16" ht="16.5">
      <c r="E265" s="31"/>
      <c r="F265" s="32"/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5:16" ht="16.5">
      <c r="E266" s="31"/>
      <c r="F266" s="32"/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5:16" ht="16.5">
      <c r="E267" s="31"/>
      <c r="F267" s="32"/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5:16" ht="16.5">
      <c r="E268" s="31"/>
      <c r="F268" s="32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5:16" ht="16.5">
      <c r="E269" s="31"/>
      <c r="F269" s="32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5:16" ht="16.5">
      <c r="E270" s="31"/>
      <c r="F270" s="32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5:16" ht="16.5">
      <c r="E271" s="31"/>
      <c r="F271" s="32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5:16" ht="16.5">
      <c r="E272" s="31"/>
      <c r="F272" s="32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5:16" ht="16.5">
      <c r="E273" s="31"/>
      <c r="F273" s="32"/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5:16" ht="16.5">
      <c r="E274" s="31"/>
      <c r="F274" s="32"/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  <row r="275" spans="5:16" ht="16.5">
      <c r="E275" s="31"/>
      <c r="F275" s="32"/>
      <c r="G275" s="31"/>
      <c r="H275" s="31"/>
      <c r="I275" s="31"/>
      <c r="J275" s="31"/>
      <c r="K275" s="31"/>
      <c r="L275" s="31"/>
      <c r="M275" s="31"/>
      <c r="N275" s="31"/>
      <c r="O275" s="31"/>
      <c r="P275" s="31"/>
    </row>
    <row r="276" spans="5:16" ht="16.5">
      <c r="E276" s="31"/>
      <c r="F276" s="32"/>
      <c r="G276" s="31"/>
      <c r="H276" s="31"/>
      <c r="I276" s="31"/>
      <c r="J276" s="31"/>
      <c r="K276" s="31"/>
      <c r="L276" s="31"/>
      <c r="M276" s="31"/>
      <c r="N276" s="31"/>
      <c r="O276" s="31"/>
      <c r="P276" s="31"/>
    </row>
    <row r="277" spans="5:16" ht="16.5">
      <c r="E277" s="31"/>
      <c r="F277" s="32"/>
      <c r="G277" s="31"/>
      <c r="H277" s="31"/>
      <c r="I277" s="31"/>
      <c r="J277" s="31"/>
      <c r="K277" s="31"/>
      <c r="L277" s="31"/>
      <c r="M277" s="31"/>
      <c r="N277" s="31"/>
      <c r="O277" s="31"/>
      <c r="P277" s="31"/>
    </row>
    <row r="278" spans="5:16" ht="16.5">
      <c r="E278" s="31"/>
      <c r="F278" s="32"/>
      <c r="G278" s="31"/>
      <c r="H278" s="31"/>
      <c r="I278" s="31"/>
      <c r="J278" s="31"/>
      <c r="K278" s="31"/>
      <c r="L278" s="31"/>
      <c r="M278" s="31"/>
      <c r="N278" s="31"/>
      <c r="O278" s="31"/>
      <c r="P278" s="31"/>
    </row>
    <row r="279" spans="5:16" ht="16.5">
      <c r="E279" s="31"/>
      <c r="F279" s="32"/>
      <c r="G279" s="31"/>
      <c r="H279" s="31"/>
      <c r="I279" s="31"/>
      <c r="J279" s="31"/>
      <c r="K279" s="31"/>
      <c r="L279" s="31"/>
      <c r="M279" s="31"/>
      <c r="N279" s="31"/>
      <c r="O279" s="31"/>
      <c r="P279" s="31"/>
    </row>
    <row r="280" spans="5:16" ht="16.5">
      <c r="E280" s="31"/>
      <c r="F280" s="32"/>
      <c r="G280" s="31"/>
      <c r="H280" s="31"/>
      <c r="I280" s="31"/>
      <c r="J280" s="31"/>
      <c r="K280" s="31"/>
      <c r="L280" s="31"/>
      <c r="M280" s="31"/>
      <c r="N280" s="31"/>
      <c r="O280" s="31"/>
      <c r="P280" s="31"/>
    </row>
    <row r="281" spans="5:16" ht="16.5">
      <c r="E281" s="31"/>
      <c r="F281" s="32"/>
      <c r="G281" s="31"/>
      <c r="H281" s="31"/>
      <c r="I281" s="31"/>
      <c r="J281" s="31"/>
      <c r="K281" s="31"/>
      <c r="L281" s="31"/>
      <c r="M281" s="31"/>
      <c r="N281" s="31"/>
      <c r="O281" s="31"/>
      <c r="P281" s="31"/>
    </row>
    <row r="282" spans="5:16" ht="16.5">
      <c r="E282" s="31"/>
      <c r="F282" s="32"/>
      <c r="G282" s="31"/>
      <c r="H282" s="31"/>
      <c r="I282" s="31"/>
      <c r="J282" s="31"/>
      <c r="K282" s="31"/>
      <c r="L282" s="31"/>
      <c r="M282" s="31"/>
      <c r="N282" s="31"/>
      <c r="O282" s="31"/>
      <c r="P282" s="31"/>
    </row>
    <row r="283" spans="5:16" ht="16.5">
      <c r="E283" s="31"/>
      <c r="F283" s="32"/>
      <c r="G283" s="31"/>
      <c r="H283" s="31"/>
      <c r="I283" s="31"/>
      <c r="J283" s="31"/>
      <c r="K283" s="31"/>
      <c r="L283" s="31"/>
      <c r="M283" s="31"/>
      <c r="N283" s="31"/>
      <c r="O283" s="31"/>
      <c r="P283" s="31"/>
    </row>
    <row r="284" spans="5:16" ht="16.5">
      <c r="E284" s="31"/>
      <c r="F284" s="32"/>
      <c r="G284" s="31"/>
      <c r="H284" s="31"/>
      <c r="I284" s="31"/>
      <c r="J284" s="31"/>
      <c r="K284" s="31"/>
      <c r="L284" s="31"/>
      <c r="M284" s="31"/>
      <c r="N284" s="31"/>
      <c r="O284" s="31"/>
      <c r="P284" s="31"/>
    </row>
    <row r="285" spans="5:16" ht="16.5">
      <c r="E285" s="31"/>
      <c r="F285" s="32"/>
      <c r="G285" s="31"/>
      <c r="H285" s="31"/>
      <c r="I285" s="31"/>
      <c r="J285" s="31"/>
      <c r="K285" s="31"/>
      <c r="L285" s="31"/>
      <c r="M285" s="31"/>
      <c r="N285" s="31"/>
      <c r="O285" s="31"/>
      <c r="P285" s="31"/>
    </row>
    <row r="286" spans="5:16" ht="16.5">
      <c r="E286" s="31"/>
      <c r="F286" s="32"/>
      <c r="G286" s="31"/>
      <c r="H286" s="31"/>
      <c r="I286" s="31"/>
      <c r="J286" s="31"/>
      <c r="K286" s="31"/>
      <c r="L286" s="31"/>
      <c r="M286" s="31"/>
      <c r="N286" s="31"/>
      <c r="O286" s="31"/>
      <c r="P286" s="31"/>
    </row>
    <row r="287" spans="5:16" ht="16.5">
      <c r="E287" s="31"/>
      <c r="F287" s="32"/>
      <c r="G287" s="31"/>
      <c r="H287" s="31"/>
      <c r="I287" s="31"/>
      <c r="J287" s="31"/>
      <c r="K287" s="31"/>
      <c r="L287" s="31"/>
      <c r="M287" s="31"/>
      <c r="N287" s="31"/>
      <c r="O287" s="31"/>
      <c r="P287" s="31"/>
    </row>
    <row r="288" spans="5:16" ht="16.5">
      <c r="E288" s="31"/>
      <c r="F288" s="32"/>
      <c r="G288" s="31"/>
      <c r="H288" s="31"/>
      <c r="I288" s="31"/>
      <c r="J288" s="31"/>
      <c r="K288" s="31"/>
      <c r="L288" s="31"/>
      <c r="M288" s="31"/>
      <c r="N288" s="31"/>
      <c r="O288" s="31"/>
      <c r="P288" s="31"/>
    </row>
    <row r="289" spans="5:16" ht="16.5">
      <c r="E289" s="31"/>
      <c r="F289" s="32"/>
      <c r="G289" s="31"/>
      <c r="H289" s="31"/>
      <c r="I289" s="31"/>
      <c r="J289" s="31"/>
      <c r="K289" s="31"/>
      <c r="L289" s="31"/>
      <c r="M289" s="31"/>
      <c r="N289" s="31"/>
      <c r="O289" s="31"/>
      <c r="P289" s="31"/>
    </row>
    <row r="290" spans="5:16" ht="16.5">
      <c r="E290" s="31"/>
      <c r="F290" s="32"/>
      <c r="G290" s="31"/>
      <c r="H290" s="31"/>
      <c r="I290" s="31"/>
      <c r="J290" s="31"/>
      <c r="K290" s="31"/>
      <c r="L290" s="31"/>
      <c r="M290" s="31"/>
      <c r="N290" s="31"/>
      <c r="O290" s="31"/>
      <c r="P290" s="31"/>
    </row>
    <row r="291" spans="5:16" ht="16.5">
      <c r="E291" s="31"/>
      <c r="F291" s="32"/>
      <c r="G291" s="31"/>
      <c r="H291" s="31"/>
      <c r="I291" s="31"/>
      <c r="J291" s="31"/>
      <c r="K291" s="31"/>
      <c r="L291" s="31"/>
      <c r="M291" s="31"/>
      <c r="N291" s="31"/>
      <c r="O291" s="31"/>
      <c r="P291" s="31"/>
    </row>
    <row r="292" spans="5:16" ht="16.5">
      <c r="E292" s="31"/>
      <c r="F292" s="32"/>
      <c r="G292" s="31"/>
      <c r="H292" s="31"/>
      <c r="I292" s="31"/>
      <c r="J292" s="31"/>
      <c r="K292" s="31"/>
      <c r="L292" s="31"/>
      <c r="M292" s="31"/>
      <c r="N292" s="31"/>
      <c r="O292" s="31"/>
      <c r="P292" s="31"/>
    </row>
    <row r="293" spans="5:16" ht="16.5">
      <c r="E293" s="31"/>
      <c r="F293" s="32"/>
      <c r="G293" s="31"/>
      <c r="H293" s="31"/>
      <c r="I293" s="31"/>
      <c r="J293" s="31"/>
      <c r="K293" s="31"/>
      <c r="L293" s="31"/>
      <c r="M293" s="31"/>
      <c r="N293" s="31"/>
      <c r="O293" s="31"/>
      <c r="P293" s="31"/>
    </row>
    <row r="294" spans="5:16" ht="16.5">
      <c r="E294" s="31"/>
      <c r="F294" s="32"/>
      <c r="G294" s="31"/>
      <c r="H294" s="31"/>
      <c r="I294" s="31"/>
      <c r="J294" s="31"/>
      <c r="K294" s="31"/>
      <c r="L294" s="31"/>
      <c r="M294" s="31"/>
      <c r="N294" s="31"/>
      <c r="O294" s="31"/>
      <c r="P294" s="31"/>
    </row>
    <row r="295" spans="5:16" ht="16.5">
      <c r="E295" s="31"/>
      <c r="F295" s="32"/>
      <c r="G295" s="31"/>
      <c r="H295" s="31"/>
      <c r="I295" s="31"/>
      <c r="J295" s="31"/>
      <c r="K295" s="31"/>
      <c r="L295" s="31"/>
      <c r="M295" s="31"/>
      <c r="N295" s="31"/>
      <c r="O295" s="31"/>
      <c r="P295" s="31"/>
    </row>
    <row r="296" spans="5:16" ht="16.5">
      <c r="E296" s="31"/>
      <c r="F296" s="32"/>
      <c r="G296" s="31"/>
      <c r="H296" s="31"/>
      <c r="I296" s="31"/>
      <c r="J296" s="31"/>
      <c r="K296" s="31"/>
      <c r="L296" s="31"/>
      <c r="M296" s="31"/>
      <c r="N296" s="31"/>
      <c r="O296" s="31"/>
      <c r="P296" s="31"/>
    </row>
    <row r="297" spans="5:16" ht="16.5">
      <c r="E297" s="31"/>
      <c r="F297" s="32"/>
      <c r="G297" s="31"/>
      <c r="H297" s="31"/>
      <c r="I297" s="31"/>
      <c r="J297" s="31"/>
      <c r="K297" s="31"/>
      <c r="L297" s="31"/>
      <c r="M297" s="31"/>
      <c r="N297" s="31"/>
      <c r="O297" s="31"/>
      <c r="P297" s="31"/>
    </row>
    <row r="298" spans="5:16" ht="16.5">
      <c r="E298" s="31"/>
      <c r="F298" s="32"/>
      <c r="G298" s="31"/>
      <c r="H298" s="31"/>
      <c r="I298" s="31"/>
      <c r="J298" s="31"/>
      <c r="K298" s="31"/>
      <c r="L298" s="31"/>
      <c r="M298" s="31"/>
      <c r="N298" s="31"/>
      <c r="O298" s="31"/>
      <c r="P298" s="31"/>
    </row>
    <row r="299" spans="5:16" ht="16.5">
      <c r="E299" s="31"/>
      <c r="F299" s="32"/>
      <c r="G299" s="31"/>
      <c r="H299" s="31"/>
      <c r="I299" s="31"/>
      <c r="J299" s="31"/>
      <c r="K299" s="31"/>
      <c r="L299" s="31"/>
      <c r="M299" s="31"/>
      <c r="N299" s="31"/>
      <c r="O299" s="31"/>
      <c r="P299" s="31"/>
    </row>
    <row r="300" spans="5:16" ht="16.5">
      <c r="E300" s="31"/>
      <c r="F300" s="32"/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5:16" ht="16.5">
      <c r="E301" s="31"/>
      <c r="F301" s="32"/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5:16" ht="16.5">
      <c r="E302" s="31"/>
      <c r="F302" s="32"/>
      <c r="G302" s="31"/>
      <c r="H302" s="31"/>
      <c r="I302" s="31"/>
      <c r="J302" s="31"/>
      <c r="K302" s="31"/>
      <c r="L302" s="31"/>
      <c r="M302" s="31"/>
      <c r="N302" s="31"/>
      <c r="O302" s="31"/>
      <c r="P302" s="31"/>
    </row>
    <row r="303" spans="5:16" ht="16.5">
      <c r="E303" s="31"/>
      <c r="F303" s="32"/>
      <c r="G303" s="31"/>
      <c r="H303" s="31"/>
      <c r="I303" s="31"/>
      <c r="J303" s="31"/>
      <c r="K303" s="31"/>
      <c r="L303" s="31"/>
      <c r="M303" s="31"/>
      <c r="N303" s="31"/>
      <c r="O303" s="31"/>
      <c r="P303" s="31"/>
    </row>
    <row r="304" spans="5:16" ht="16.5">
      <c r="E304" s="31"/>
      <c r="F304" s="32"/>
      <c r="G304" s="31"/>
      <c r="H304" s="31"/>
      <c r="I304" s="31"/>
      <c r="J304" s="31"/>
      <c r="K304" s="31"/>
      <c r="L304" s="31"/>
      <c r="M304" s="31"/>
      <c r="N304" s="31"/>
      <c r="O304" s="31"/>
      <c r="P304" s="31"/>
    </row>
    <row r="305" spans="5:16" ht="16.5">
      <c r="E305" s="31"/>
      <c r="F305" s="32"/>
      <c r="G305" s="31"/>
      <c r="H305" s="31"/>
      <c r="I305" s="31"/>
      <c r="J305" s="31"/>
      <c r="K305" s="31"/>
      <c r="L305" s="31"/>
      <c r="M305" s="31"/>
      <c r="N305" s="31"/>
      <c r="O305" s="31"/>
      <c r="P305" s="31"/>
    </row>
    <row r="306" spans="5:16" ht="16.5">
      <c r="E306" s="31"/>
      <c r="F306" s="32"/>
      <c r="G306" s="31"/>
      <c r="H306" s="31"/>
      <c r="I306" s="31"/>
      <c r="J306" s="31"/>
      <c r="K306" s="31"/>
      <c r="L306" s="31"/>
      <c r="M306" s="31"/>
      <c r="N306" s="31"/>
      <c r="O306" s="31"/>
      <c r="P306" s="31"/>
    </row>
    <row r="307" spans="5:16" ht="16.5">
      <c r="E307" s="31"/>
      <c r="F307" s="32"/>
      <c r="G307" s="31"/>
      <c r="H307" s="31"/>
      <c r="I307" s="31"/>
      <c r="J307" s="31"/>
      <c r="K307" s="31"/>
      <c r="L307" s="31"/>
      <c r="M307" s="31"/>
      <c r="N307" s="31"/>
      <c r="O307" s="31"/>
      <c r="P307" s="31"/>
    </row>
    <row r="308" spans="5:16" ht="16.5">
      <c r="E308" s="31"/>
      <c r="F308" s="32"/>
      <c r="G308" s="31"/>
      <c r="H308" s="31"/>
      <c r="I308" s="31"/>
      <c r="J308" s="31"/>
      <c r="K308" s="31"/>
      <c r="L308" s="31"/>
      <c r="M308" s="31"/>
      <c r="N308" s="31"/>
      <c r="O308" s="31"/>
      <c r="P308" s="31"/>
    </row>
    <row r="309" spans="5:16" ht="16.5">
      <c r="E309" s="31"/>
      <c r="F309" s="32"/>
      <c r="G309" s="31"/>
      <c r="H309" s="31"/>
      <c r="I309" s="31"/>
      <c r="J309" s="31"/>
      <c r="K309" s="31"/>
      <c r="L309" s="31"/>
      <c r="M309" s="31"/>
      <c r="N309" s="31"/>
      <c r="O309" s="31"/>
      <c r="P309" s="31"/>
    </row>
    <row r="310" spans="5:16" ht="16.5">
      <c r="E310" s="31"/>
      <c r="F310" s="32"/>
      <c r="G310" s="31"/>
      <c r="H310" s="31"/>
      <c r="I310" s="31"/>
      <c r="J310" s="31"/>
      <c r="K310" s="31"/>
      <c r="L310" s="31"/>
      <c r="M310" s="31"/>
      <c r="N310" s="31"/>
      <c r="O310" s="31"/>
      <c r="P310" s="31"/>
    </row>
    <row r="311" spans="5:16" ht="16.5">
      <c r="E311" s="31"/>
      <c r="F311" s="32"/>
      <c r="G311" s="31"/>
      <c r="H311" s="31"/>
      <c r="I311" s="31"/>
      <c r="J311" s="31"/>
      <c r="K311" s="31"/>
      <c r="L311" s="31"/>
      <c r="M311" s="31"/>
      <c r="N311" s="31"/>
      <c r="O311" s="31"/>
      <c r="P311" s="31"/>
    </row>
    <row r="312" spans="5:16" ht="16.5">
      <c r="E312" s="31"/>
      <c r="F312" s="32"/>
      <c r="G312" s="31"/>
      <c r="H312" s="31"/>
      <c r="I312" s="31"/>
      <c r="J312" s="31"/>
      <c r="K312" s="31"/>
      <c r="L312" s="31"/>
      <c r="M312" s="31"/>
      <c r="N312" s="31"/>
      <c r="O312" s="31"/>
      <c r="P312" s="31"/>
    </row>
    <row r="313" spans="5:16" ht="16.5">
      <c r="E313" s="31"/>
      <c r="F313" s="32"/>
      <c r="G313" s="31"/>
      <c r="H313" s="31"/>
      <c r="I313" s="31"/>
      <c r="J313" s="31"/>
      <c r="K313" s="31"/>
      <c r="L313" s="31"/>
      <c r="M313" s="31"/>
      <c r="N313" s="31"/>
      <c r="O313" s="31"/>
      <c r="P313" s="31"/>
    </row>
    <row r="314" spans="5:16" ht="16.5">
      <c r="E314" s="31"/>
      <c r="F314" s="32"/>
      <c r="G314" s="31"/>
      <c r="H314" s="31"/>
      <c r="I314" s="31"/>
      <c r="J314" s="31"/>
      <c r="K314" s="31"/>
      <c r="L314" s="31"/>
      <c r="M314" s="31"/>
      <c r="N314" s="31"/>
      <c r="O314" s="31"/>
      <c r="P314" s="31"/>
    </row>
    <row r="315" spans="5:16" ht="16.5">
      <c r="E315" s="31"/>
      <c r="F315" s="32"/>
      <c r="G315" s="31"/>
      <c r="H315" s="31"/>
      <c r="I315" s="31"/>
      <c r="J315" s="31"/>
      <c r="K315" s="31"/>
      <c r="L315" s="31"/>
      <c r="M315" s="31"/>
      <c r="N315" s="31"/>
      <c r="O315" s="31"/>
      <c r="P315" s="31"/>
    </row>
    <row r="316" spans="5:16" ht="16.5">
      <c r="E316" s="31"/>
      <c r="F316" s="32"/>
      <c r="G316" s="31"/>
      <c r="H316" s="31"/>
      <c r="I316" s="31"/>
      <c r="J316" s="31"/>
      <c r="K316" s="31"/>
      <c r="L316" s="31"/>
      <c r="M316" s="31"/>
      <c r="N316" s="31"/>
      <c r="O316" s="31"/>
      <c r="P316" s="31"/>
    </row>
    <row r="317" spans="5:16" ht="16.5">
      <c r="E317" s="31"/>
      <c r="F317" s="32"/>
      <c r="G317" s="31"/>
      <c r="H317" s="31"/>
      <c r="I317" s="31"/>
      <c r="J317" s="31"/>
      <c r="K317" s="31"/>
      <c r="L317" s="31"/>
      <c r="M317" s="31"/>
      <c r="N317" s="31"/>
      <c r="O317" s="31"/>
      <c r="P317" s="31"/>
    </row>
    <row r="318" spans="5:16" ht="16.5">
      <c r="E318" s="31"/>
      <c r="F318" s="32"/>
      <c r="G318" s="31"/>
      <c r="H318" s="31"/>
      <c r="I318" s="31"/>
      <c r="J318" s="31"/>
      <c r="K318" s="31"/>
      <c r="L318" s="31"/>
      <c r="M318" s="31"/>
      <c r="N318" s="31"/>
      <c r="O318" s="31"/>
      <c r="P318" s="31"/>
    </row>
    <row r="319" spans="5:16" ht="16.5">
      <c r="E319" s="31"/>
      <c r="F319" s="32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5:16" ht="16.5">
      <c r="E320" s="31"/>
      <c r="F320" s="32"/>
      <c r="G320" s="31"/>
      <c r="H320" s="31"/>
      <c r="I320" s="31"/>
      <c r="J320" s="31"/>
      <c r="K320" s="31"/>
      <c r="L320" s="31"/>
      <c r="M320" s="31"/>
      <c r="N320" s="31"/>
      <c r="O320" s="31"/>
      <c r="P320" s="31"/>
    </row>
    <row r="321" spans="5:16" ht="16.5">
      <c r="E321" s="31"/>
      <c r="F321" s="32"/>
      <c r="G321" s="31"/>
      <c r="H321" s="31"/>
      <c r="I321" s="31"/>
      <c r="J321" s="31"/>
      <c r="K321" s="31"/>
      <c r="L321" s="31"/>
      <c r="M321" s="31"/>
      <c r="N321" s="31"/>
      <c r="O321" s="31"/>
      <c r="P321" s="31"/>
    </row>
    <row r="322" spans="5:16" ht="16.5">
      <c r="E322" s="31"/>
      <c r="F322" s="32"/>
      <c r="G322" s="31"/>
      <c r="H322" s="31"/>
      <c r="I322" s="31"/>
      <c r="J322" s="31"/>
      <c r="K322" s="31"/>
      <c r="L322" s="31"/>
      <c r="M322" s="31"/>
      <c r="N322" s="31"/>
      <c r="O322" s="31"/>
      <c r="P322" s="31"/>
    </row>
    <row r="323" spans="5:16" ht="16.5">
      <c r="E323" s="31"/>
      <c r="F323" s="32"/>
      <c r="G323" s="31"/>
      <c r="H323" s="31"/>
      <c r="I323" s="31"/>
      <c r="J323" s="31"/>
      <c r="K323" s="31"/>
      <c r="L323" s="31"/>
      <c r="M323" s="31"/>
      <c r="N323" s="31"/>
      <c r="O323" s="31"/>
      <c r="P323" s="31"/>
    </row>
    <row r="324" spans="5:16" ht="16.5">
      <c r="E324" s="31"/>
      <c r="F324" s="32"/>
      <c r="G324" s="31"/>
      <c r="H324" s="31"/>
      <c r="I324" s="31"/>
      <c r="J324" s="31"/>
      <c r="K324" s="31"/>
      <c r="L324" s="31"/>
      <c r="M324" s="31"/>
      <c r="N324" s="31"/>
      <c r="O324" s="31"/>
      <c r="P324" s="31"/>
    </row>
    <row r="325" spans="5:16" ht="16.5">
      <c r="E325" s="31"/>
      <c r="F325" s="32"/>
      <c r="G325" s="31"/>
      <c r="H325" s="31"/>
      <c r="I325" s="31"/>
      <c r="J325" s="31"/>
      <c r="K325" s="31"/>
      <c r="L325" s="31"/>
      <c r="M325" s="31"/>
      <c r="N325" s="31"/>
      <c r="O325" s="31"/>
      <c r="P325" s="31"/>
    </row>
    <row r="326" spans="5:16" ht="16.5">
      <c r="E326" s="31"/>
      <c r="F326" s="32"/>
      <c r="G326" s="31"/>
      <c r="H326" s="31"/>
      <c r="I326" s="31"/>
      <c r="J326" s="31"/>
      <c r="K326" s="31"/>
      <c r="L326" s="31"/>
      <c r="M326" s="31"/>
      <c r="N326" s="31"/>
      <c r="O326" s="31"/>
      <c r="P326" s="31"/>
    </row>
    <row r="327" spans="5:16" ht="16.5">
      <c r="E327" s="31"/>
      <c r="F327" s="32"/>
      <c r="G327" s="31"/>
      <c r="H327" s="31"/>
      <c r="I327" s="31"/>
      <c r="J327" s="31"/>
      <c r="K327" s="31"/>
      <c r="L327" s="31"/>
      <c r="M327" s="31"/>
      <c r="N327" s="31"/>
      <c r="O327" s="31"/>
      <c r="P327" s="31"/>
    </row>
    <row r="328" spans="5:16" ht="16.5">
      <c r="E328" s="31"/>
      <c r="F328" s="32"/>
      <c r="G328" s="31"/>
      <c r="H328" s="31"/>
      <c r="I328" s="31"/>
      <c r="J328" s="31"/>
      <c r="K328" s="31"/>
      <c r="L328" s="31"/>
      <c r="M328" s="31"/>
      <c r="N328" s="31"/>
      <c r="O328" s="31"/>
      <c r="P328" s="31"/>
    </row>
    <row r="329" spans="5:16" ht="16.5">
      <c r="E329" s="31"/>
      <c r="F329" s="32"/>
      <c r="G329" s="31"/>
      <c r="H329" s="31"/>
      <c r="I329" s="31"/>
      <c r="J329" s="31"/>
      <c r="K329" s="31"/>
      <c r="L329" s="31"/>
      <c r="M329" s="31"/>
      <c r="N329" s="31"/>
      <c r="O329" s="31"/>
      <c r="P329" s="31"/>
    </row>
    <row r="330" spans="5:16" ht="16.5">
      <c r="E330" s="31"/>
      <c r="F330" s="32"/>
      <c r="G330" s="31"/>
      <c r="H330" s="31"/>
      <c r="I330" s="31"/>
      <c r="J330" s="31"/>
      <c r="K330" s="31"/>
      <c r="L330" s="31"/>
      <c r="M330" s="31"/>
      <c r="N330" s="31"/>
      <c r="O330" s="31"/>
      <c r="P330" s="31"/>
    </row>
    <row r="331" spans="5:16" ht="16.5">
      <c r="E331" s="31"/>
      <c r="F331" s="32"/>
      <c r="G331" s="31"/>
      <c r="H331" s="31"/>
      <c r="I331" s="31"/>
      <c r="J331" s="31"/>
      <c r="K331" s="31"/>
      <c r="L331" s="31"/>
      <c r="M331" s="31"/>
      <c r="N331" s="31"/>
      <c r="O331" s="31"/>
      <c r="P331" s="31"/>
    </row>
    <row r="332" spans="5:16" ht="16.5">
      <c r="E332" s="31"/>
      <c r="F332" s="32"/>
      <c r="G332" s="31"/>
      <c r="H332" s="31"/>
      <c r="I332" s="31"/>
      <c r="J332" s="31"/>
      <c r="K332" s="31"/>
      <c r="L332" s="31"/>
      <c r="M332" s="31"/>
      <c r="N332" s="31"/>
      <c r="O332" s="31"/>
      <c r="P332" s="31"/>
    </row>
    <row r="333" spans="5:16" ht="16.5">
      <c r="E333" s="31"/>
      <c r="F333" s="32"/>
      <c r="G333" s="31"/>
      <c r="H333" s="31"/>
      <c r="I333" s="31"/>
      <c r="J333" s="31"/>
      <c r="K333" s="31"/>
      <c r="L333" s="31"/>
      <c r="M333" s="31"/>
      <c r="N333" s="31"/>
      <c r="O333" s="31"/>
      <c r="P333" s="31"/>
    </row>
    <row r="334" spans="5:16" ht="16.5">
      <c r="E334" s="31"/>
      <c r="F334" s="32"/>
      <c r="G334" s="31"/>
      <c r="H334" s="31"/>
      <c r="I334" s="31"/>
      <c r="J334" s="31"/>
      <c r="K334" s="31"/>
      <c r="L334" s="31"/>
      <c r="M334" s="31"/>
      <c r="N334" s="31"/>
      <c r="O334" s="31"/>
      <c r="P334" s="31"/>
    </row>
    <row r="335" spans="5:16" ht="16.5">
      <c r="E335" s="31"/>
      <c r="F335" s="32"/>
      <c r="G335" s="31"/>
      <c r="H335" s="31"/>
      <c r="I335" s="31"/>
      <c r="J335" s="31"/>
      <c r="K335" s="31"/>
      <c r="L335" s="31"/>
      <c r="M335" s="31"/>
      <c r="N335" s="31"/>
      <c r="O335" s="31"/>
      <c r="P335" s="31"/>
    </row>
    <row r="336" spans="5:16" ht="16.5">
      <c r="E336" s="31"/>
      <c r="F336" s="32"/>
      <c r="G336" s="31"/>
      <c r="H336" s="31"/>
      <c r="I336" s="31"/>
      <c r="J336" s="31"/>
      <c r="K336" s="31"/>
      <c r="L336" s="31"/>
      <c r="M336" s="31"/>
      <c r="N336" s="31"/>
      <c r="O336" s="31"/>
      <c r="P336" s="31"/>
    </row>
    <row r="337" spans="5:16" ht="16.5">
      <c r="E337" s="31"/>
      <c r="F337" s="32"/>
      <c r="G337" s="31"/>
      <c r="H337" s="31"/>
      <c r="I337" s="31"/>
      <c r="J337" s="31"/>
      <c r="K337" s="31"/>
      <c r="L337" s="31"/>
      <c r="M337" s="31"/>
      <c r="N337" s="31"/>
      <c r="O337" s="31"/>
      <c r="P337" s="31"/>
    </row>
    <row r="338" spans="5:16" ht="16.5">
      <c r="E338" s="31"/>
      <c r="F338" s="32"/>
      <c r="G338" s="31"/>
      <c r="H338" s="31"/>
      <c r="I338" s="31"/>
      <c r="J338" s="31"/>
      <c r="K338" s="31"/>
      <c r="L338" s="31"/>
      <c r="M338" s="31"/>
      <c r="N338" s="31"/>
      <c r="O338" s="31"/>
      <c r="P338" s="31"/>
    </row>
    <row r="339" spans="5:16" ht="16.5">
      <c r="E339" s="31"/>
      <c r="F339" s="32"/>
      <c r="G339" s="31"/>
      <c r="H339" s="31"/>
      <c r="I339" s="31"/>
      <c r="J339" s="31"/>
      <c r="K339" s="31"/>
      <c r="L339" s="31"/>
      <c r="M339" s="31"/>
      <c r="N339" s="31"/>
      <c r="O339" s="31"/>
      <c r="P339" s="31"/>
    </row>
    <row r="340" spans="5:16" ht="16.5">
      <c r="E340" s="31"/>
      <c r="F340" s="32"/>
      <c r="G340" s="31"/>
      <c r="H340" s="31"/>
      <c r="I340" s="31"/>
      <c r="J340" s="31"/>
      <c r="K340" s="31"/>
      <c r="L340" s="31"/>
      <c r="M340" s="31"/>
      <c r="N340" s="31"/>
      <c r="O340" s="31"/>
      <c r="P340" s="31"/>
    </row>
    <row r="341" spans="5:16" ht="16.5">
      <c r="E341" s="31"/>
      <c r="F341" s="32"/>
      <c r="G341" s="31"/>
      <c r="H341" s="31"/>
      <c r="I341" s="31"/>
      <c r="J341" s="31"/>
      <c r="K341" s="31"/>
      <c r="L341" s="31"/>
      <c r="M341" s="31"/>
      <c r="N341" s="31"/>
      <c r="O341" s="31"/>
      <c r="P341" s="31"/>
    </row>
    <row r="342" spans="5:16" ht="16.5">
      <c r="E342" s="31"/>
      <c r="F342" s="32"/>
      <c r="G342" s="31"/>
      <c r="H342" s="31"/>
      <c r="I342" s="31"/>
      <c r="J342" s="31"/>
      <c r="K342" s="31"/>
      <c r="L342" s="31"/>
      <c r="M342" s="31"/>
      <c r="N342" s="31"/>
      <c r="O342" s="31"/>
      <c r="P342" s="31"/>
    </row>
    <row r="343" spans="5:16" ht="16.5">
      <c r="E343" s="31"/>
      <c r="F343" s="32"/>
      <c r="G343" s="31"/>
      <c r="H343" s="31"/>
      <c r="I343" s="31"/>
      <c r="J343" s="31"/>
      <c r="K343" s="31"/>
      <c r="L343" s="31"/>
      <c r="M343" s="31"/>
      <c r="N343" s="31"/>
      <c r="O343" s="31"/>
      <c r="P343" s="31"/>
    </row>
    <row r="344" spans="5:16" ht="16.5">
      <c r="E344" s="31"/>
      <c r="F344" s="32"/>
      <c r="G344" s="31"/>
      <c r="H344" s="31"/>
      <c r="I344" s="31"/>
      <c r="J344" s="31"/>
      <c r="K344" s="31"/>
      <c r="L344" s="31"/>
      <c r="M344" s="31"/>
      <c r="N344" s="31"/>
      <c r="O344" s="31"/>
      <c r="P344" s="31"/>
    </row>
    <row r="345" spans="5:16" ht="16.5">
      <c r="E345" s="31"/>
      <c r="F345" s="32"/>
      <c r="G345" s="31"/>
      <c r="H345" s="31"/>
      <c r="I345" s="31"/>
      <c r="J345" s="31"/>
      <c r="K345" s="31"/>
      <c r="L345" s="31"/>
      <c r="M345" s="31"/>
      <c r="N345" s="31"/>
      <c r="O345" s="31"/>
      <c r="P345" s="31"/>
    </row>
    <row r="346" spans="5:16" ht="16.5">
      <c r="E346" s="31"/>
      <c r="F346" s="32"/>
      <c r="G346" s="31"/>
      <c r="H346" s="31"/>
      <c r="I346" s="31"/>
      <c r="J346" s="31"/>
      <c r="K346" s="31"/>
      <c r="L346" s="31"/>
      <c r="M346" s="31"/>
      <c r="N346" s="31"/>
      <c r="O346" s="31"/>
      <c r="P346" s="31"/>
    </row>
    <row r="347" spans="5:16" ht="16.5">
      <c r="E347" s="31"/>
      <c r="F347" s="32"/>
      <c r="G347" s="31"/>
      <c r="H347" s="31"/>
      <c r="I347" s="31"/>
      <c r="J347" s="31"/>
      <c r="K347" s="31"/>
      <c r="L347" s="31"/>
      <c r="M347" s="31"/>
      <c r="N347" s="31"/>
      <c r="O347" s="31"/>
      <c r="P347" s="31"/>
    </row>
    <row r="348" spans="5:16" ht="16.5">
      <c r="E348" s="31"/>
      <c r="F348" s="32"/>
      <c r="G348" s="31"/>
      <c r="H348" s="31"/>
      <c r="I348" s="31"/>
      <c r="J348" s="31"/>
      <c r="K348" s="31"/>
      <c r="L348" s="31"/>
      <c r="M348" s="31"/>
      <c r="N348" s="31"/>
      <c r="O348" s="31"/>
      <c r="P348" s="31"/>
    </row>
    <row r="349" spans="5:16" ht="16.5">
      <c r="E349" s="31"/>
      <c r="F349" s="32"/>
      <c r="G349" s="31"/>
      <c r="H349" s="31"/>
      <c r="I349" s="31"/>
      <c r="J349" s="31"/>
      <c r="K349" s="31"/>
      <c r="L349" s="31"/>
      <c r="M349" s="31"/>
      <c r="N349" s="31"/>
      <c r="O349" s="31"/>
      <c r="P349" s="31"/>
    </row>
    <row r="350" spans="5:16" ht="16.5">
      <c r="E350" s="31"/>
      <c r="F350" s="32"/>
      <c r="G350" s="31"/>
      <c r="H350" s="31"/>
      <c r="I350" s="31"/>
      <c r="J350" s="31"/>
      <c r="K350" s="31"/>
      <c r="L350" s="31"/>
      <c r="M350" s="31"/>
      <c r="N350" s="31"/>
      <c r="O350" s="31"/>
      <c r="P350" s="31"/>
    </row>
    <row r="351" spans="5:16" ht="16.5">
      <c r="E351" s="31"/>
      <c r="F351" s="32"/>
      <c r="G351" s="31"/>
      <c r="H351" s="31"/>
      <c r="I351" s="31"/>
      <c r="J351" s="31"/>
      <c r="K351" s="31"/>
      <c r="L351" s="31"/>
      <c r="M351" s="31"/>
      <c r="N351" s="31"/>
      <c r="O351" s="31"/>
      <c r="P351" s="31"/>
    </row>
    <row r="352" spans="5:16" ht="16.5">
      <c r="E352" s="31"/>
      <c r="F352" s="32"/>
      <c r="G352" s="31"/>
      <c r="H352" s="31"/>
      <c r="I352" s="31"/>
      <c r="J352" s="31"/>
      <c r="K352" s="31"/>
      <c r="L352" s="31"/>
      <c r="M352" s="31"/>
      <c r="N352" s="31"/>
      <c r="O352" s="31"/>
      <c r="P352" s="31"/>
    </row>
    <row r="353" spans="5:16" ht="16.5">
      <c r="E353" s="31"/>
      <c r="F353" s="32"/>
      <c r="G353" s="31"/>
      <c r="H353" s="31"/>
      <c r="I353" s="31"/>
      <c r="J353" s="31"/>
      <c r="K353" s="31"/>
      <c r="L353" s="31"/>
      <c r="M353" s="31"/>
      <c r="N353" s="31"/>
      <c r="O353" s="31"/>
      <c r="P353" s="31"/>
    </row>
    <row r="354" spans="5:16" ht="16.5">
      <c r="E354" s="31"/>
      <c r="F354" s="32"/>
      <c r="G354" s="31"/>
      <c r="H354" s="31"/>
      <c r="I354" s="31"/>
      <c r="J354" s="31"/>
      <c r="K354" s="31"/>
      <c r="L354" s="31"/>
      <c r="M354" s="31"/>
      <c r="N354" s="31"/>
      <c r="O354" s="31"/>
      <c r="P354" s="31"/>
    </row>
    <row r="355" spans="5:16" ht="16.5">
      <c r="E355" s="31"/>
      <c r="F355" s="32"/>
      <c r="G355" s="31"/>
      <c r="H355" s="31"/>
      <c r="I355" s="31"/>
      <c r="J355" s="31"/>
      <c r="K355" s="31"/>
      <c r="L355" s="31"/>
      <c r="M355" s="31"/>
      <c r="N355" s="31"/>
      <c r="O355" s="31"/>
      <c r="P355" s="31"/>
    </row>
    <row r="356" spans="5:16" ht="16.5">
      <c r="E356" s="31"/>
      <c r="F356" s="32"/>
      <c r="G356" s="31"/>
      <c r="H356" s="31"/>
      <c r="I356" s="31"/>
      <c r="J356" s="31"/>
      <c r="K356" s="31"/>
      <c r="L356" s="31"/>
      <c r="M356" s="31"/>
      <c r="N356" s="31"/>
      <c r="O356" s="31"/>
      <c r="P356" s="31"/>
    </row>
    <row r="357" spans="5:16" ht="16.5">
      <c r="E357" s="31"/>
      <c r="F357" s="32"/>
      <c r="G357" s="31"/>
      <c r="H357" s="31"/>
      <c r="I357" s="31"/>
      <c r="J357" s="31"/>
      <c r="K357" s="31"/>
      <c r="L357" s="31"/>
      <c r="M357" s="31"/>
      <c r="N357" s="31"/>
      <c r="O357" s="31"/>
      <c r="P357" s="31"/>
    </row>
    <row r="358" spans="5:16" ht="16.5">
      <c r="E358" s="31"/>
      <c r="F358" s="32"/>
      <c r="G358" s="31"/>
      <c r="H358" s="31"/>
      <c r="I358" s="31"/>
      <c r="J358" s="31"/>
      <c r="K358" s="31"/>
      <c r="L358" s="31"/>
      <c r="M358" s="31"/>
      <c r="N358" s="31"/>
      <c r="O358" s="31"/>
      <c r="P358" s="31"/>
    </row>
    <row r="359" spans="5:16" ht="16.5">
      <c r="E359" s="31"/>
      <c r="F359" s="32"/>
      <c r="G359" s="31"/>
      <c r="H359" s="31"/>
      <c r="I359" s="31"/>
      <c r="J359" s="31"/>
      <c r="K359" s="31"/>
      <c r="L359" s="31"/>
      <c r="M359" s="31"/>
      <c r="N359" s="31"/>
      <c r="O359" s="31"/>
      <c r="P359" s="31"/>
    </row>
    <row r="360" spans="5:16" ht="16.5">
      <c r="E360" s="31"/>
      <c r="F360" s="32"/>
      <c r="G360" s="31"/>
      <c r="H360" s="31"/>
      <c r="I360" s="31"/>
      <c r="J360" s="31"/>
      <c r="K360" s="31"/>
      <c r="L360" s="31"/>
      <c r="M360" s="31"/>
      <c r="N360" s="31"/>
      <c r="O360" s="31"/>
      <c r="P360" s="31"/>
    </row>
    <row r="361" spans="5:16" ht="16.5">
      <c r="E361" s="31"/>
      <c r="F361" s="32"/>
      <c r="G361" s="31"/>
      <c r="H361" s="31"/>
      <c r="I361" s="31"/>
      <c r="J361" s="31"/>
      <c r="K361" s="31"/>
      <c r="L361" s="31"/>
      <c r="M361" s="31"/>
      <c r="N361" s="31"/>
      <c r="O361" s="31"/>
      <c r="P361" s="31"/>
    </row>
    <row r="362" spans="5:16" ht="16.5">
      <c r="E362" s="31"/>
      <c r="F362" s="32"/>
      <c r="G362" s="31"/>
      <c r="H362" s="31"/>
      <c r="I362" s="31"/>
      <c r="J362" s="31"/>
      <c r="K362" s="31"/>
      <c r="L362" s="31"/>
      <c r="M362" s="31"/>
      <c r="N362" s="31"/>
      <c r="O362" s="31"/>
      <c r="P362" s="31"/>
    </row>
    <row r="363" spans="5:16" ht="16.5">
      <c r="E363" s="31"/>
      <c r="F363" s="32"/>
      <c r="G363" s="31"/>
      <c r="H363" s="31"/>
      <c r="I363" s="31"/>
      <c r="J363" s="31"/>
      <c r="K363" s="31"/>
      <c r="L363" s="31"/>
      <c r="M363" s="31"/>
      <c r="N363" s="31"/>
      <c r="O363" s="31"/>
      <c r="P363" s="31"/>
    </row>
    <row r="364" spans="5:16" ht="16.5">
      <c r="E364" s="31"/>
      <c r="F364" s="32"/>
      <c r="G364" s="31"/>
      <c r="H364" s="31"/>
      <c r="I364" s="31"/>
      <c r="J364" s="31"/>
      <c r="K364" s="31"/>
      <c r="L364" s="31"/>
      <c r="M364" s="31"/>
      <c r="N364" s="31"/>
      <c r="O364" s="31"/>
      <c r="P364" s="31"/>
    </row>
    <row r="365" spans="5:16" ht="16.5">
      <c r="E365" s="31"/>
      <c r="F365" s="32"/>
      <c r="G365" s="31"/>
      <c r="H365" s="31"/>
      <c r="I365" s="31"/>
      <c r="J365" s="31"/>
      <c r="K365" s="31"/>
      <c r="L365" s="31"/>
      <c r="M365" s="31"/>
      <c r="N365" s="31"/>
      <c r="O365" s="31"/>
      <c r="P365" s="31"/>
    </row>
    <row r="366" spans="5:16" ht="16.5">
      <c r="E366" s="31"/>
      <c r="F366" s="32"/>
      <c r="G366" s="31"/>
      <c r="H366" s="31"/>
      <c r="I366" s="31"/>
      <c r="J366" s="31"/>
      <c r="K366" s="31"/>
      <c r="L366" s="31"/>
      <c r="M366" s="31"/>
      <c r="N366" s="31"/>
      <c r="O366" s="31"/>
      <c r="P366" s="31"/>
    </row>
    <row r="367" spans="5:16" ht="16.5">
      <c r="E367" s="31"/>
      <c r="F367" s="32"/>
      <c r="G367" s="31"/>
      <c r="H367" s="31"/>
      <c r="I367" s="31"/>
      <c r="J367" s="31"/>
      <c r="K367" s="31"/>
      <c r="L367" s="31"/>
      <c r="M367" s="31"/>
      <c r="N367" s="31"/>
      <c r="O367" s="31"/>
      <c r="P367" s="31"/>
    </row>
    <row r="368" spans="5:16" ht="16.5">
      <c r="E368" s="31"/>
      <c r="F368" s="32"/>
      <c r="G368" s="31"/>
      <c r="H368" s="31"/>
      <c r="I368" s="31"/>
      <c r="J368" s="31"/>
      <c r="K368" s="31"/>
      <c r="L368" s="31"/>
      <c r="M368" s="31"/>
      <c r="N368" s="31"/>
      <c r="O368" s="31"/>
      <c r="P368" s="31"/>
    </row>
    <row r="369" spans="5:16" ht="16.5">
      <c r="E369" s="31"/>
      <c r="F369" s="32"/>
      <c r="G369" s="31"/>
      <c r="H369" s="31"/>
      <c r="I369" s="31"/>
      <c r="J369" s="31"/>
      <c r="K369" s="31"/>
      <c r="L369" s="31"/>
      <c r="M369" s="31"/>
      <c r="N369" s="31"/>
      <c r="O369" s="31"/>
      <c r="P369" s="31"/>
    </row>
    <row r="370" spans="5:16" ht="16.5">
      <c r="E370" s="31"/>
      <c r="F370" s="32"/>
      <c r="G370" s="31"/>
      <c r="H370" s="31"/>
      <c r="I370" s="31"/>
      <c r="J370" s="31"/>
      <c r="K370" s="31"/>
      <c r="L370" s="31"/>
      <c r="M370" s="31"/>
      <c r="N370" s="31"/>
      <c r="O370" s="31"/>
      <c r="P370" s="31"/>
    </row>
    <row r="371" spans="5:16" ht="16.5">
      <c r="E371" s="31"/>
      <c r="F371" s="32"/>
      <c r="G371" s="31"/>
      <c r="H371" s="31"/>
      <c r="I371" s="31"/>
      <c r="J371" s="31"/>
      <c r="K371" s="31"/>
      <c r="L371" s="31"/>
      <c r="M371" s="31"/>
      <c r="N371" s="31"/>
      <c r="O371" s="31"/>
      <c r="P371" s="31"/>
    </row>
    <row r="372" spans="5:16" ht="16.5">
      <c r="E372" s="31"/>
      <c r="F372" s="32"/>
      <c r="G372" s="31"/>
      <c r="H372" s="31"/>
      <c r="I372" s="31"/>
      <c r="J372" s="31"/>
      <c r="K372" s="31"/>
      <c r="L372" s="31"/>
      <c r="M372" s="31"/>
      <c r="N372" s="31"/>
      <c r="O372" s="31"/>
      <c r="P372" s="31"/>
    </row>
    <row r="373" spans="5:16" ht="16.5">
      <c r="E373" s="31"/>
      <c r="F373" s="32"/>
      <c r="G373" s="31"/>
      <c r="H373" s="31"/>
      <c r="I373" s="31"/>
      <c r="J373" s="31"/>
      <c r="K373" s="31"/>
      <c r="L373" s="31"/>
      <c r="M373" s="31"/>
      <c r="N373" s="31"/>
      <c r="O373" s="31"/>
      <c r="P373" s="31"/>
    </row>
  </sheetData>
  <mergeCells count="36">
    <mergeCell ref="A3:C3"/>
    <mergeCell ref="A4:C4"/>
    <mergeCell ref="A5:C5"/>
    <mergeCell ref="A6:C6"/>
    <mergeCell ref="A7:C7"/>
    <mergeCell ref="H7:I8"/>
    <mergeCell ref="A8:C8"/>
    <mergeCell ref="A9:C9"/>
    <mergeCell ref="A10:C10"/>
    <mergeCell ref="A11:C11"/>
    <mergeCell ref="A12:C12"/>
    <mergeCell ref="H12:H13"/>
    <mergeCell ref="A13:C13"/>
    <mergeCell ref="A14:C14"/>
    <mergeCell ref="H15:H16"/>
    <mergeCell ref="A16:C16"/>
    <mergeCell ref="N16:N17"/>
    <mergeCell ref="A18:C18"/>
    <mergeCell ref="H18:I19"/>
    <mergeCell ref="A19:C19"/>
    <mergeCell ref="A20:C20"/>
    <mergeCell ref="A21:C21"/>
    <mergeCell ref="A22:C22"/>
    <mergeCell ref="A23:C23"/>
    <mergeCell ref="A24:C24"/>
    <mergeCell ref="A26:C26"/>
    <mergeCell ref="A27:C27"/>
    <mergeCell ref="A29:C29"/>
    <mergeCell ref="A30:C30"/>
    <mergeCell ref="AC38:AG38"/>
    <mergeCell ref="A31:C31"/>
    <mergeCell ref="A32:C32"/>
    <mergeCell ref="S37:AA37"/>
    <mergeCell ref="A38:E38"/>
    <mergeCell ref="S38:W38"/>
    <mergeCell ref="X38:AB38"/>
  </mergeCells>
  <printOptions/>
  <pageMargins left="0.59" right="0.46" top="0.49" bottom="0.52" header="0.5" footer="0.5"/>
  <pageSetup horizontalDpi="600" verticalDpi="600" orientation="landscape" r:id="rId6"/>
  <drawing r:id="rId5"/>
  <legacyDrawing r:id="rId4"/>
  <oleObjects>
    <oleObject progId="Mathcad" shapeId="15978254" r:id="rId1"/>
    <oleObject progId="Mathcad" shapeId="15978255" r:id="rId2"/>
    <oleObject progId="Mathcad" shapeId="1597825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X373"/>
  <sheetViews>
    <sheetView workbookViewId="0" topLeftCell="A89">
      <selection activeCell="A1" sqref="A1"/>
    </sheetView>
  </sheetViews>
  <sheetFormatPr defaultColWidth="9.140625" defaultRowHeight="12.75"/>
  <cols>
    <col min="1" max="1" width="5.7109375" style="2" customWidth="1"/>
    <col min="2" max="2" width="6.7109375" style="2" customWidth="1"/>
    <col min="3" max="3" width="8.00390625" style="11" customWidth="1"/>
    <col min="4" max="4" width="6.7109375" style="5" customWidth="1"/>
    <col min="5" max="5" width="9.28125" style="3" customWidth="1"/>
    <col min="6" max="6" width="8.00390625" style="5" customWidth="1"/>
    <col min="7" max="7" width="8.57421875" style="2" customWidth="1"/>
    <col min="8" max="8" width="8.28125" style="2" customWidth="1"/>
    <col min="9" max="9" width="7.8515625" style="2" customWidth="1"/>
    <col min="10" max="10" width="8.28125" style="2" customWidth="1"/>
    <col min="11" max="11" width="7.57421875" style="2" customWidth="1"/>
    <col min="12" max="12" width="7.8515625" style="2" customWidth="1"/>
    <col min="13" max="13" width="8.00390625" style="2" customWidth="1"/>
    <col min="14" max="14" width="7.8515625" style="2" customWidth="1"/>
    <col min="15" max="16" width="7.57421875" style="2" customWidth="1"/>
    <col min="17" max="17" width="5.421875" style="4" customWidth="1"/>
    <col min="18" max="18" width="1.57421875" style="2" customWidth="1"/>
    <col min="19" max="19" width="10.00390625" style="27" bestFit="1" customWidth="1"/>
    <col min="20" max="28" width="8.00390625" style="27" bestFit="1" customWidth="1"/>
    <col min="29" max="29" width="8.7109375" style="27" bestFit="1" customWidth="1"/>
    <col min="30" max="33" width="7.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160</v>
      </c>
      <c r="C1" s="14"/>
      <c r="D1" s="1"/>
      <c r="E1" s="1"/>
      <c r="F1" s="1"/>
      <c r="G1" s="18"/>
      <c r="H1" s="5" t="s">
        <v>159</v>
      </c>
      <c r="I1" s="20" t="s">
        <v>155</v>
      </c>
      <c r="K1" s="5" t="s">
        <v>154</v>
      </c>
      <c r="L1" s="5"/>
      <c r="M1" s="5"/>
      <c r="Q1" s="2"/>
    </row>
    <row r="2" ht="16.5"/>
    <row r="3" spans="1:9" ht="16.5">
      <c r="A3" s="38" t="s">
        <v>0</v>
      </c>
      <c r="B3" s="39"/>
      <c r="C3" s="39"/>
      <c r="D3" s="5" t="s">
        <v>3</v>
      </c>
      <c r="E3" s="3">
        <f>0.00973/2</f>
        <v>0.004865</v>
      </c>
      <c r="F3" s="5" t="s">
        <v>8</v>
      </c>
      <c r="H3" s="5"/>
      <c r="I3" s="10" t="s">
        <v>141</v>
      </c>
    </row>
    <row r="4" spans="1:6" ht="16.5">
      <c r="A4" s="38" t="s">
        <v>1</v>
      </c>
      <c r="B4" s="39"/>
      <c r="C4" s="39"/>
      <c r="D4" s="5" t="s">
        <v>4</v>
      </c>
      <c r="E4" s="3">
        <f>0.001166/2</f>
        <v>0.000583</v>
      </c>
      <c r="F4" s="5" t="s">
        <v>8</v>
      </c>
    </row>
    <row r="5" spans="1:12" ht="16.5">
      <c r="A5" s="38" t="s">
        <v>2</v>
      </c>
      <c r="B5" s="39"/>
      <c r="C5" s="39"/>
      <c r="D5" s="5" t="s">
        <v>5</v>
      </c>
      <c r="E5" s="3">
        <v>0.074</v>
      </c>
      <c r="F5" s="5" t="s">
        <v>8</v>
      </c>
      <c r="H5" s="5"/>
      <c r="I5" s="10" t="s">
        <v>142</v>
      </c>
      <c r="L5" s="2" t="s">
        <v>22</v>
      </c>
    </row>
    <row r="6" spans="1:6" ht="16.5">
      <c r="A6" s="38" t="s">
        <v>6</v>
      </c>
      <c r="B6" s="39"/>
      <c r="C6" s="39"/>
      <c r="D6" s="5" t="s">
        <v>7</v>
      </c>
      <c r="E6" s="3">
        <v>0.06</v>
      </c>
      <c r="F6" s="2" t="s">
        <v>9</v>
      </c>
    </row>
    <row r="7" spans="1:9" ht="16.5">
      <c r="A7" s="38" t="s">
        <v>12</v>
      </c>
      <c r="B7" s="39"/>
      <c r="C7" s="39"/>
      <c r="D7" s="5" t="s">
        <v>13</v>
      </c>
      <c r="E7" s="3">
        <v>7.4E-05</v>
      </c>
      <c r="F7" s="2" t="s">
        <v>9</v>
      </c>
      <c r="H7" s="47" t="s">
        <v>143</v>
      </c>
      <c r="I7" s="37"/>
    </row>
    <row r="8" spans="1:9" ht="16.5">
      <c r="A8" s="38" t="s">
        <v>10</v>
      </c>
      <c r="B8" s="39"/>
      <c r="C8" s="39"/>
      <c r="D8" s="5" t="s">
        <v>11</v>
      </c>
      <c r="E8" s="3">
        <v>30</v>
      </c>
      <c r="H8" s="48"/>
      <c r="I8" s="37"/>
    </row>
    <row r="9" spans="1:6" ht="16.5">
      <c r="A9" s="38" t="s">
        <v>135</v>
      </c>
      <c r="B9" s="39"/>
      <c r="C9" s="39"/>
      <c r="D9" s="5" t="s">
        <v>14</v>
      </c>
      <c r="E9" s="3">
        <f>E6*2*E5*E3/E8/(E8-1)</f>
        <v>4.965655172413792E-08</v>
      </c>
      <c r="F9" s="5" t="s">
        <v>17</v>
      </c>
    </row>
    <row r="10" spans="1:8" ht="16.5">
      <c r="A10" s="38" t="s">
        <v>136</v>
      </c>
      <c r="B10" s="39"/>
      <c r="C10" s="39"/>
      <c r="D10" s="5" t="s">
        <v>15</v>
      </c>
      <c r="E10" s="3">
        <f>E7*E5*E4/2/E8</f>
        <v>5.320846666666666E-11</v>
      </c>
      <c r="F10" s="5" t="s">
        <v>17</v>
      </c>
      <c r="H10" s="5" t="s">
        <v>144</v>
      </c>
    </row>
    <row r="11" spans="1:12" ht="16.5">
      <c r="A11" s="38" t="s">
        <v>123</v>
      </c>
      <c r="B11" s="39"/>
      <c r="C11" s="39"/>
      <c r="D11" s="7" t="s">
        <v>84</v>
      </c>
      <c r="E11" s="3">
        <f>E7*E4*2*E3/SQRT(E5^2+16*E3^2)</f>
        <v>5.486066948246153E-09</v>
      </c>
      <c r="F11" s="5" t="s">
        <v>16</v>
      </c>
      <c r="H11" s="5"/>
      <c r="L11" s="8"/>
    </row>
    <row r="12" spans="1:8" ht="16.5">
      <c r="A12" s="38" t="s">
        <v>18</v>
      </c>
      <c r="B12" s="39"/>
      <c r="C12" s="39"/>
      <c r="D12" s="7" t="s">
        <v>85</v>
      </c>
      <c r="E12" s="3">
        <f>4*PI()*10^-7</f>
        <v>1.2566370614359173E-06</v>
      </c>
      <c r="F12" s="5" t="s">
        <v>19</v>
      </c>
      <c r="H12" s="47" t="s">
        <v>145</v>
      </c>
    </row>
    <row r="13" spans="1:8" ht="16.5">
      <c r="A13" s="38" t="s">
        <v>23</v>
      </c>
      <c r="B13" s="39"/>
      <c r="C13" s="39"/>
      <c r="D13" s="7" t="s">
        <v>86</v>
      </c>
      <c r="E13" s="4">
        <v>0.826</v>
      </c>
      <c r="H13" s="48"/>
    </row>
    <row r="14" spans="1:8" ht="16.5">
      <c r="A14" s="38" t="s">
        <v>24</v>
      </c>
      <c r="B14" s="39"/>
      <c r="C14" s="39"/>
      <c r="D14" s="7" t="s">
        <v>25</v>
      </c>
      <c r="E14" s="4">
        <v>0.872</v>
      </c>
      <c r="H14" s="5"/>
    </row>
    <row r="15" spans="1:8" ht="16.5">
      <c r="A15" s="5" t="s">
        <v>103</v>
      </c>
      <c r="B15" s="6"/>
      <c r="C15" s="6"/>
      <c r="D15" s="5" t="s">
        <v>104</v>
      </c>
      <c r="E15" s="4">
        <v>2.25</v>
      </c>
      <c r="H15" s="47" t="s">
        <v>146</v>
      </c>
    </row>
    <row r="16" spans="1:14" ht="16.5">
      <c r="A16" s="38" t="s">
        <v>26</v>
      </c>
      <c r="B16" s="39"/>
      <c r="C16" s="39"/>
      <c r="D16" s="7" t="s">
        <v>87</v>
      </c>
      <c r="E16" s="4">
        <f>1/(1+E15)</f>
        <v>0.3076923076923077</v>
      </c>
      <c r="H16" s="47"/>
      <c r="N16" s="45"/>
    </row>
    <row r="17" spans="1:14" ht="16.5">
      <c r="A17" s="5" t="s">
        <v>62</v>
      </c>
      <c r="B17" s="6"/>
      <c r="C17" s="21"/>
      <c r="D17" s="7" t="s">
        <v>88</v>
      </c>
      <c r="E17" s="3">
        <f>0.000000000916*48/205</f>
        <v>2.144780487804878E-10</v>
      </c>
      <c r="F17" s="5" t="s">
        <v>16</v>
      </c>
      <c r="H17" s="34"/>
      <c r="N17" s="45"/>
    </row>
    <row r="18" spans="1:9" ht="16.5">
      <c r="A18" s="38" t="s">
        <v>63</v>
      </c>
      <c r="B18" s="39"/>
      <c r="C18" s="39"/>
      <c r="D18" s="9" t="s">
        <v>64</v>
      </c>
      <c r="E18" s="3">
        <v>0.004</v>
      </c>
      <c r="F18" s="2" t="s">
        <v>8</v>
      </c>
      <c r="H18" s="47" t="s">
        <v>131</v>
      </c>
      <c r="I18" s="49"/>
    </row>
    <row r="19" spans="1:9" ht="16.5">
      <c r="A19" s="38" t="s">
        <v>65</v>
      </c>
      <c r="B19" s="39"/>
      <c r="C19" s="39"/>
      <c r="D19" s="7" t="s">
        <v>20</v>
      </c>
      <c r="E19" s="3">
        <f>E12/2/E17*(E18/2/PI())^2</f>
        <v>0.001187291242133863</v>
      </c>
      <c r="G19" s="2" t="s">
        <v>147</v>
      </c>
      <c r="H19" s="47"/>
      <c r="I19" s="49"/>
    </row>
    <row r="20" spans="1:11" ht="16.5">
      <c r="A20" s="38" t="s">
        <v>41</v>
      </c>
      <c r="B20" s="39"/>
      <c r="C20" s="39"/>
      <c r="D20" s="9" t="s">
        <v>42</v>
      </c>
      <c r="E20" s="3">
        <v>6E-06</v>
      </c>
      <c r="F20" s="5" t="s">
        <v>8</v>
      </c>
      <c r="G20" s="2" t="s">
        <v>148</v>
      </c>
      <c r="K20" s="5"/>
    </row>
    <row r="21" spans="1:11" ht="18.75">
      <c r="A21" s="38" t="s">
        <v>48</v>
      </c>
      <c r="B21" s="39"/>
      <c r="C21" s="39"/>
      <c r="D21" s="9" t="s">
        <v>89</v>
      </c>
      <c r="E21" s="3">
        <v>38500000000</v>
      </c>
      <c r="F21" s="5" t="s">
        <v>49</v>
      </c>
      <c r="G21" s="3">
        <v>23500000000</v>
      </c>
      <c r="J21" s="5"/>
      <c r="K21" s="5"/>
    </row>
    <row r="22" spans="1:12" ht="18.75">
      <c r="A22" s="38" t="s">
        <v>48</v>
      </c>
      <c r="B22" s="39"/>
      <c r="C22" s="39"/>
      <c r="D22" s="9" t="s">
        <v>90</v>
      </c>
      <c r="E22" s="13">
        <v>0.13</v>
      </c>
      <c r="F22" s="5" t="s">
        <v>27</v>
      </c>
      <c r="G22" s="2">
        <v>0.707</v>
      </c>
      <c r="J22" s="5"/>
      <c r="L22" s="5" t="s">
        <v>132</v>
      </c>
    </row>
    <row r="23" spans="1:76" ht="18.75">
      <c r="A23" s="38" t="s">
        <v>48</v>
      </c>
      <c r="B23" s="39"/>
      <c r="C23" s="39"/>
      <c r="D23" s="9" t="s">
        <v>93</v>
      </c>
      <c r="E23" s="3">
        <v>4350000000</v>
      </c>
      <c r="F23" s="5" t="s">
        <v>49</v>
      </c>
      <c r="BX23" s="2"/>
    </row>
    <row r="24" spans="1:76" ht="18.75">
      <c r="A24" s="38" t="s">
        <v>48</v>
      </c>
      <c r="B24" s="39"/>
      <c r="C24" s="39"/>
      <c r="D24" s="9" t="s">
        <v>94</v>
      </c>
      <c r="E24" s="31">
        <v>-585000000</v>
      </c>
      <c r="F24" s="5" t="s">
        <v>67</v>
      </c>
      <c r="H24" s="5" t="s">
        <v>57</v>
      </c>
      <c r="N24" s="10" t="s">
        <v>82</v>
      </c>
      <c r="O24" s="11">
        <f>Q103</f>
        <v>4.291243237339415</v>
      </c>
      <c r="P24" s="12" t="s">
        <v>59</v>
      </c>
      <c r="Q24" s="2"/>
      <c r="R24"/>
      <c r="BX24" s="2"/>
    </row>
    <row r="25" spans="1:76" ht="16.5">
      <c r="A25" s="5" t="s">
        <v>137</v>
      </c>
      <c r="B25" s="6"/>
      <c r="C25" s="6"/>
      <c r="D25" s="5" t="s">
        <v>124</v>
      </c>
      <c r="E25" s="19">
        <v>6780</v>
      </c>
      <c r="F25" s="5" t="s">
        <v>130</v>
      </c>
      <c r="H25" s="2" t="s">
        <v>58</v>
      </c>
      <c r="I25" s="2" t="s">
        <v>91</v>
      </c>
      <c r="J25" s="2" t="s">
        <v>92</v>
      </c>
      <c r="N25" s="10" t="s">
        <v>105</v>
      </c>
      <c r="O25" s="11">
        <f>O24*4</f>
        <v>17.16497294935766</v>
      </c>
      <c r="P25" s="12" t="s">
        <v>59</v>
      </c>
      <c r="Q25" s="2"/>
      <c r="R25"/>
      <c r="BX25" s="2"/>
    </row>
    <row r="26" spans="1:76" ht="16.5">
      <c r="A26" s="38" t="s">
        <v>138</v>
      </c>
      <c r="B26" s="39"/>
      <c r="C26" s="39"/>
      <c r="D26" s="5" t="s">
        <v>125</v>
      </c>
      <c r="E26" s="4">
        <f>J$34*E25/1000+J$35*(E25/1000)^J$36</f>
        <v>3.999791889840895</v>
      </c>
      <c r="F26" s="5" t="s">
        <v>27</v>
      </c>
      <c r="H26" s="2">
        <v>1</v>
      </c>
      <c r="I26" s="15">
        <v>0</v>
      </c>
      <c r="J26" s="15">
        <v>15.673373548625944</v>
      </c>
      <c r="N26" s="10" t="s">
        <v>120</v>
      </c>
      <c r="O26" s="14">
        <f>O25*J30</f>
        <v>20.028304999472383</v>
      </c>
      <c r="P26" s="12" t="s">
        <v>59</v>
      </c>
      <c r="Q26" s="2"/>
      <c r="R26"/>
      <c r="BX26" s="2"/>
    </row>
    <row r="27" spans="1:76" ht="16.5">
      <c r="A27" s="38" t="s">
        <v>28</v>
      </c>
      <c r="B27" s="39"/>
      <c r="C27" s="39"/>
      <c r="D27" s="5" t="s">
        <v>68</v>
      </c>
      <c r="E27" s="13">
        <v>2.1215</v>
      </c>
      <c r="F27" s="5" t="s">
        <v>27</v>
      </c>
      <c r="H27" s="2">
        <v>2</v>
      </c>
      <c r="I27" s="15">
        <v>17.081863443783423</v>
      </c>
      <c r="J27" s="15">
        <v>36.23820889210402</v>
      </c>
      <c r="N27" s="10"/>
      <c r="O27" s="14"/>
      <c r="P27" s="12"/>
      <c r="Q27" s="2"/>
      <c r="R27"/>
      <c r="BW27" s="2"/>
      <c r="BX27" s="2"/>
    </row>
    <row r="28" spans="1:76" ht="16.5">
      <c r="A28" s="5" t="s">
        <v>139</v>
      </c>
      <c r="B28" s="6"/>
      <c r="C28" s="6"/>
      <c r="D28" s="5" t="s">
        <v>126</v>
      </c>
      <c r="E28" s="19">
        <v>1</v>
      </c>
      <c r="F28" s="5" t="s">
        <v>130</v>
      </c>
      <c r="H28" s="2">
        <v>3</v>
      </c>
      <c r="I28" s="15">
        <v>41.284249216564326</v>
      </c>
      <c r="J28" s="15">
        <v>55.21613681534294</v>
      </c>
      <c r="N28" s="10" t="s">
        <v>121</v>
      </c>
      <c r="O28" s="33">
        <f>O26*E31*2</f>
        <v>80.10905190414948</v>
      </c>
      <c r="P28" s="12" t="s">
        <v>122</v>
      </c>
      <c r="Q28" s="2"/>
      <c r="R28"/>
      <c r="BW28" s="2"/>
      <c r="BX28" s="2"/>
    </row>
    <row r="29" spans="1:76" ht="16.5">
      <c r="A29" s="38" t="s">
        <v>140</v>
      </c>
      <c r="B29" s="39"/>
      <c r="C29" s="39"/>
      <c r="D29" s="5" t="s">
        <v>119</v>
      </c>
      <c r="E29" s="15">
        <v>0</v>
      </c>
      <c r="F29" s="5" t="s">
        <v>27</v>
      </c>
      <c r="H29" s="2">
        <v>4</v>
      </c>
      <c r="I29" s="15">
        <v>66.20526072708387</v>
      </c>
      <c r="J29" s="15">
        <v>73.17120452647318</v>
      </c>
      <c r="K29" s="15"/>
      <c r="N29" s="10"/>
      <c r="O29" s="14"/>
      <c r="P29" s="12"/>
      <c r="Q29" s="12"/>
      <c r="R29"/>
      <c r="BW29" s="2"/>
      <c r="BX29" s="2"/>
    </row>
    <row r="30" spans="1:76" ht="16.5">
      <c r="A30" s="38" t="s">
        <v>95</v>
      </c>
      <c r="B30" s="39"/>
      <c r="C30" s="39"/>
      <c r="D30" s="5" t="s">
        <v>29</v>
      </c>
      <c r="E30" s="15">
        <f>E29/E26</f>
        <v>0</v>
      </c>
      <c r="I30" s="10" t="s">
        <v>74</v>
      </c>
      <c r="J30" s="15">
        <f>245*2.54*12/100/32/2</f>
        <v>1.1668124999999998</v>
      </c>
      <c r="K30" s="5" t="s">
        <v>69</v>
      </c>
      <c r="N30" s="10"/>
      <c r="O30" s="14"/>
      <c r="P30" s="12"/>
      <c r="Q30" s="12"/>
      <c r="R30"/>
      <c r="BX30" s="2"/>
    </row>
    <row r="31" spans="1:76" ht="16.5">
      <c r="A31" s="38" t="s">
        <v>30</v>
      </c>
      <c r="B31" s="39"/>
      <c r="C31" s="39"/>
      <c r="D31" s="5" t="s">
        <v>81</v>
      </c>
      <c r="E31" s="11">
        <f>(E26-E29)/E32</f>
        <v>1.9998959449204474</v>
      </c>
      <c r="F31" s="5" t="s">
        <v>21</v>
      </c>
      <c r="H31" s="5"/>
      <c r="I31" s="10" t="s">
        <v>79</v>
      </c>
      <c r="J31" s="3">
        <v>7.888866402398716E-06</v>
      </c>
      <c r="K31" s="5" t="s">
        <v>43</v>
      </c>
      <c r="N31" s="10"/>
      <c r="O31" s="16"/>
      <c r="P31" s="16"/>
      <c r="Q31" s="12"/>
      <c r="R31" s="4"/>
      <c r="BX31" s="2"/>
    </row>
    <row r="32" spans="1:76" ht="16.5">
      <c r="A32" s="38" t="s">
        <v>76</v>
      </c>
      <c r="B32" s="39"/>
      <c r="C32" s="39"/>
      <c r="D32" s="5" t="s">
        <v>78</v>
      </c>
      <c r="E32" s="15">
        <v>2</v>
      </c>
      <c r="F32" s="5" t="s">
        <v>77</v>
      </c>
      <c r="H32" s="10"/>
      <c r="I32" s="10" t="s">
        <v>80</v>
      </c>
      <c r="K32" s="5" t="s">
        <v>21</v>
      </c>
      <c r="L32" s="5"/>
      <c r="N32" s="10" t="s">
        <v>70</v>
      </c>
      <c r="O32" s="17">
        <f>K104</f>
        <v>0.005374446733202405</v>
      </c>
      <c r="P32" s="17"/>
      <c r="R32"/>
      <c r="BX32" s="2"/>
    </row>
    <row r="33" spans="1:18" ht="16.5">
      <c r="A33" s="5" t="s">
        <v>97</v>
      </c>
      <c r="B33" s="6"/>
      <c r="C33" s="21"/>
      <c r="D33" s="5" t="s">
        <v>98</v>
      </c>
      <c r="E33" s="15">
        <v>2</v>
      </c>
      <c r="H33" s="10"/>
      <c r="I33" s="10" t="s">
        <v>96</v>
      </c>
      <c r="J33" s="15"/>
      <c r="K33" s="5"/>
      <c r="N33" s="10" t="s">
        <v>71</v>
      </c>
      <c r="O33" s="17">
        <f>L104</f>
        <v>0.11967623932062614</v>
      </c>
      <c r="P33" s="17"/>
      <c r="R33"/>
    </row>
    <row r="34" spans="1:18" ht="16.5">
      <c r="A34" s="5" t="s">
        <v>101</v>
      </c>
      <c r="B34" s="6"/>
      <c r="C34" s="21"/>
      <c r="D34" s="5" t="s">
        <v>99</v>
      </c>
      <c r="E34" s="15">
        <v>1</v>
      </c>
      <c r="I34" s="10" t="s">
        <v>127</v>
      </c>
      <c r="J34" s="24">
        <v>0.6499066833965692</v>
      </c>
      <c r="K34" s="5"/>
      <c r="N34" s="10" t="s">
        <v>72</v>
      </c>
      <c r="O34" s="17">
        <f>M104</f>
        <v>0.001731044408606201</v>
      </c>
      <c r="P34" s="17"/>
      <c r="Q34" s="2"/>
      <c r="R34"/>
    </row>
    <row r="35" spans="1:18" ht="16.5">
      <c r="A35" s="5" t="s">
        <v>102</v>
      </c>
      <c r="B35" s="6"/>
      <c r="C35" s="21"/>
      <c r="D35" s="5" t="s">
        <v>100</v>
      </c>
      <c r="E35" s="15">
        <v>1</v>
      </c>
      <c r="G35" s="5"/>
      <c r="I35" s="10" t="s">
        <v>128</v>
      </c>
      <c r="J35" s="24">
        <v>-0.002876751101105405</v>
      </c>
      <c r="K35" s="5"/>
      <c r="N35" s="10" t="s">
        <v>73</v>
      </c>
      <c r="O35" s="17">
        <f>N104</f>
        <v>0.48699691013881885</v>
      </c>
      <c r="P35" s="17"/>
      <c r="Q35" s="3"/>
      <c r="R35"/>
    </row>
    <row r="36" spans="1:18" ht="16.5">
      <c r="A36" s="5"/>
      <c r="B36" s="6"/>
      <c r="C36" s="21"/>
      <c r="E36" s="15"/>
      <c r="I36" s="10" t="s">
        <v>129</v>
      </c>
      <c r="J36" s="24">
        <v>2.5868166777577715</v>
      </c>
      <c r="K36" s="5"/>
      <c r="N36" s="10" t="s">
        <v>75</v>
      </c>
      <c r="O36" s="26">
        <f>O104</f>
        <v>0.3862213593987463</v>
      </c>
      <c r="P36" s="17"/>
      <c r="Q36" s="3"/>
      <c r="R36"/>
    </row>
    <row r="37" spans="16:27" ht="16.5">
      <c r="P37" s="2" t="s">
        <v>52</v>
      </c>
      <c r="Q37" s="4" t="s">
        <v>56</v>
      </c>
      <c r="R37"/>
      <c r="S37" s="40" t="s">
        <v>106</v>
      </c>
      <c r="T37" s="41"/>
      <c r="U37" s="41"/>
      <c r="V37" s="41"/>
      <c r="W37" s="41"/>
      <c r="X37" s="41"/>
      <c r="Y37" s="41"/>
      <c r="Z37" s="41"/>
      <c r="AA37" s="41"/>
    </row>
    <row r="38" spans="1:76" ht="16.5">
      <c r="A38" s="42" t="s">
        <v>66</v>
      </c>
      <c r="B38" s="42"/>
      <c r="C38" s="38"/>
      <c r="D38" s="38"/>
      <c r="E38" s="43"/>
      <c r="F38" s="18" t="s">
        <v>44</v>
      </c>
      <c r="G38" s="3"/>
      <c r="H38" s="3"/>
      <c r="I38" s="3"/>
      <c r="J38" s="2" t="s">
        <v>50</v>
      </c>
      <c r="P38" s="2" t="s">
        <v>53</v>
      </c>
      <c r="Q38" s="4" t="s">
        <v>54</v>
      </c>
      <c r="R38"/>
      <c r="S38" s="40" t="s">
        <v>107</v>
      </c>
      <c r="T38" s="40"/>
      <c r="U38" s="40"/>
      <c r="V38" s="40"/>
      <c r="W38" s="41"/>
      <c r="X38" s="40" t="s">
        <v>108</v>
      </c>
      <c r="Y38" s="40"/>
      <c r="Z38" s="40"/>
      <c r="AA38" s="40"/>
      <c r="AB38" s="44"/>
      <c r="AC38" s="36" t="s">
        <v>133</v>
      </c>
      <c r="AD38" s="36"/>
      <c r="AE38" s="36"/>
      <c r="AF38" s="36"/>
      <c r="AG38" s="37"/>
      <c r="BX38" s="2"/>
    </row>
    <row r="39" spans="1:76" ht="16.5">
      <c r="A39" s="2" t="s">
        <v>31</v>
      </c>
      <c r="B39" s="2" t="s">
        <v>32</v>
      </c>
      <c r="C39" s="11" t="s">
        <v>33</v>
      </c>
      <c r="D39" s="5" t="s">
        <v>34</v>
      </c>
      <c r="E39" s="3" t="s">
        <v>36</v>
      </c>
      <c r="F39" s="5" t="s">
        <v>35</v>
      </c>
      <c r="G39" s="5" t="s">
        <v>45</v>
      </c>
      <c r="H39" s="5" t="s">
        <v>46</v>
      </c>
      <c r="I39" s="3" t="s">
        <v>47</v>
      </c>
      <c r="J39" s="3" t="s">
        <v>36</v>
      </c>
      <c r="K39" s="2" t="s">
        <v>37</v>
      </c>
      <c r="L39" s="2" t="s">
        <v>38</v>
      </c>
      <c r="M39" s="2" t="s">
        <v>39</v>
      </c>
      <c r="N39" s="2" t="s">
        <v>40</v>
      </c>
      <c r="O39" s="2" t="s">
        <v>134</v>
      </c>
      <c r="P39" s="2" t="s">
        <v>51</v>
      </c>
      <c r="Q39" s="4" t="s">
        <v>55</v>
      </c>
      <c r="R39"/>
      <c r="S39" s="28" t="s">
        <v>109</v>
      </c>
      <c r="T39" s="28" t="s">
        <v>110</v>
      </c>
      <c r="U39" s="28" t="s">
        <v>111</v>
      </c>
      <c r="V39" s="28" t="s">
        <v>112</v>
      </c>
      <c r="W39" s="28" t="s">
        <v>113</v>
      </c>
      <c r="X39" s="28" t="s">
        <v>114</v>
      </c>
      <c r="Y39" s="28" t="s">
        <v>115</v>
      </c>
      <c r="Z39" s="28" t="s">
        <v>116</v>
      </c>
      <c r="AA39" s="28" t="s">
        <v>117</v>
      </c>
      <c r="AB39" s="28" t="s">
        <v>118</v>
      </c>
      <c r="AC39" s="28" t="s">
        <v>149</v>
      </c>
      <c r="AD39" s="22" t="s">
        <v>150</v>
      </c>
      <c r="AE39" s="22" t="s">
        <v>151</v>
      </c>
      <c r="AF39" s="22" t="s">
        <v>152</v>
      </c>
      <c r="AG39" s="22" t="s">
        <v>153</v>
      </c>
      <c r="BX39" s="2"/>
    </row>
    <row r="40" spans="1:76" ht="16.5">
      <c r="A40" s="19">
        <v>0</v>
      </c>
      <c r="B40" s="15">
        <v>-0.8219977069090909</v>
      </c>
      <c r="C40" s="11">
        <v>244.26680129999903</v>
      </c>
      <c r="D40" s="4">
        <v>-7.829455454545454E-06</v>
      </c>
      <c r="E40" s="31">
        <f aca="true" t="shared" si="0" ref="E40:E55">SQRT(B40^2+D40^2)</f>
        <v>0.8219977069463784</v>
      </c>
      <c r="F40" s="31">
        <f aca="true" t="shared" si="1" ref="F40:F55">-B40*$E$26*(1-$E$30)/$E$27/$E$31</f>
        <v>0.7749212414886552</v>
      </c>
      <c r="G40" s="31">
        <f aca="true" t="shared" si="2" ref="G40:G55">C40*$E$26*(1-$E$30)/$E$27/$E$31</f>
        <v>230.2774464294122</v>
      </c>
      <c r="H40" s="31">
        <f aca="true" t="shared" si="3" ref="H40:H55">-D40*$E$26*(1-$E$30)/$E$27/$E$31</f>
        <v>7.381056285218435E-06</v>
      </c>
      <c r="I40" s="31">
        <f aca="true" t="shared" si="4" ref="I40:I55">E40*$E$26*(1-$E$30)/$E$27/$E$31</f>
        <v>0.774921241523807</v>
      </c>
      <c r="J40" s="31">
        <f aca="true" t="shared" si="5" ref="J40:J55">E40*E$26/E$27</f>
        <v>1.5497618485561804</v>
      </c>
      <c r="K40" s="31">
        <f aca="true" t="shared" si="6" ref="K40:K55">E$33*E$13/120*E$5*F40^2/E$6*E$3*E$8*(E$8-1)/E$4</f>
        <v>74.02150994213662</v>
      </c>
      <c r="L40" s="31">
        <f aca="true" t="shared" si="7" ref="L40:L55">E$33*E$13/6*F40^2*E$3/E$7/E$4*SQRT(E$5^2+16*E$3^2)*(1+(G40*E$3/F40)^2/15)</f>
        <v>1625.399699769793</v>
      </c>
      <c r="M40" s="31">
        <f aca="true" t="shared" si="8" ref="M40:M55">E$34*E$13*H40^2/8*E$4/E$7/E$3*SQRT(E$5^2+16*E$3^2)</f>
        <v>6.970005111537645E-10</v>
      </c>
      <c r="N40" s="31">
        <f aca="true" t="shared" si="9" ref="N40:N55">E$33*2*E$13*E$14*I40^2/E$12*E$19</f>
        <v>1634.6284563765853</v>
      </c>
      <c r="O40" s="31">
        <f aca="true" t="shared" si="10" ref="O40:O55">(X40+AC40+Y40+AD40+Z40+AE40+AA40+AF40+AB40+AG40)/5</f>
        <v>2580.793318651506</v>
      </c>
      <c r="P40" s="31">
        <f aca="true" t="shared" si="11" ref="P40:P55">SUM(K40:O40)</f>
        <v>5914.842984740718</v>
      </c>
      <c r="Q40" s="4">
        <f aca="true" t="shared" si="12" ref="Q40:Q54">P40*J$31</f>
        <v>0.04666140609778479</v>
      </c>
      <c r="R40" s="25"/>
      <c r="S40" s="28">
        <f aca="true" t="shared" si="13" ref="S40:S55">SQRT(($B40-$C40*0.8*$E$3)^2+$D40^2)*$E$26/$E$27</f>
        <v>3.342148233219099</v>
      </c>
      <c r="T40" s="28">
        <f aca="true" t="shared" si="14" ref="T40:T55">SQRT(($B40-$C40*0.4*$E$3)^2+$D40^2)*$E$26/$E$27</f>
        <v>2.4459550408807327</v>
      </c>
      <c r="U40" s="28">
        <f aca="true" t="shared" si="15" ref="U40:U55">SQRT(($B40)^2+$D40^2)*$E$26/$E$27</f>
        <v>1.5497618485561804</v>
      </c>
      <c r="V40" s="28">
        <f aca="true" t="shared" si="16" ref="V40:V55">SQRT(($B40+$C40*0.4*$E$3)^2+$D40^2)*$E$26/$E$27</f>
        <v>0.653568656302268</v>
      </c>
      <c r="W40" s="28">
        <f aca="true" t="shared" si="17" ref="W40:W55">SQRT(($B40+$C40*0.8*$E$3)^2+$D40^2)*$E$26/$E$27</f>
        <v>0.24262453666378242</v>
      </c>
      <c r="X40" s="28">
        <f aca="true" t="shared" si="18" ref="X40:X55">$E$35*$E$13*$E$14*$E$16/$E$31*2/3*$E$20/PI()*($E$21*$E$22*LN((S40+$E$22)/($E$30*S40+$E$22))+$E$23*S40*(1-$E$30)+$E$24*S40^2/2*(1-$E$30^2))</f>
        <v>3910.137773618871</v>
      </c>
      <c r="Y40" s="28">
        <f aca="true" t="shared" si="19" ref="Y40:Y55">$E$35*$E$13*$E$14*$E$16/$E$31*2/3*$E$20/PI()*($E$21*$E$22*LN((T40+$E$22)/($E$30*T40+$E$22))+$E$23*T40*(1-$E$30)+$E$24*T40^2/2*(1-$E$30^2))</f>
        <v>3363.3292212586475</v>
      </c>
      <c r="Z40" s="28">
        <f aca="true" t="shared" si="20" ref="Z40:Z55">$E$35*$E$13*$E$14*$E$16/$E$31*2/3*$E$20/PI()*($E$21*$E$22*LN((U40+$E$22)/($E$30*U40+$E$22))+$E$23*U40*(1-$E$30)+$E$24*U40^2/2*(1-$E$30^2))</f>
        <v>2659.1176389847765</v>
      </c>
      <c r="AA40" s="28">
        <f aca="true" t="shared" si="21" ref="AA40:AA55">$E$35*$E$13*$E$14*$E$16/$E$31*2/3*$E$20/PI()*($E$21*$E$22*LN((V40+$E$22)/($E$30*V40+$E$22))+$E$23*V40*(1-$E$30)+$E$24*V40^2/2*(1-$E$30^2))</f>
        <v>1652.0530674860595</v>
      </c>
      <c r="AB40" s="28">
        <f aca="true" t="shared" si="22" ref="AB40:AB55">$E$35*$E$13*$E$14*$E$16/$E$31*2/3*$E$20/PI()*($E$21*$E$22*LN((W40+$E$22)/($E$30*W40+$E$22))+$E$23*W40*(1-$E$30)+$E$24*W40^2/2*(1-$E$30^2))</f>
        <v>890.1273925604055</v>
      </c>
      <c r="AC40" s="28">
        <f aca="true" t="shared" si="23" ref="AC40:AC55">1/18/PI()*$E$20/$E$31*S40*$E$25^2*(3*S40+4*$G$22)/($G$21*$G$22*16*$E$13*$E$14*$E$16*$E$3^2*$E$4^2)</f>
        <v>221.07348634701162</v>
      </c>
      <c r="AD40" s="28">
        <f aca="true" t="shared" si="24" ref="AD40:AD55">1/18/PI()*$E$20/$E$31*T40*$E$25^2*(3*T40+4*$G$22)/($G$21*$G$22*16*$E$13*$E$14*$E$16*$E$3^2*$E$4^2)</f>
        <v>127.95299182878874</v>
      </c>
      <c r="AE40" s="28">
        <f aca="true" t="shared" si="25" ref="AE40:AE55">1/18/PI()*$E$20/$E$31*U40*$E$25^2*(3*U40+4*$G$22)/($G$21*$G$22*16*$E$13*$E$14*$E$16*$E$3^2*$E$4^2)</f>
        <v>59.630240805513175</v>
      </c>
      <c r="AF40" s="28">
        <f aca="true" t="shared" si="26" ref="AF40:AF55">1/18/PI()*$E$20/$E$31*V40*$E$25^2*(3*V40+4*$G$22)/($G$21*$G$22*16*$E$13*$E$14*$E$16*$E$3^2*$E$4^2)</f>
        <v>16.105233278011784</v>
      </c>
      <c r="AG40" s="28">
        <f aca="true" t="shared" si="27" ref="AG40:AG55">1/18/PI()*$E$20/$E$31*W40*$E$25^2*(3*W40+4*$G$22)/($G$21*$G$22*16*$E$13*$E$14*$E$16*$E$3^2*$E$4^2)</f>
        <v>4.439547089444511</v>
      </c>
      <c r="AH40" s="25"/>
      <c r="BX40" s="2"/>
    </row>
    <row r="41" spans="1:76" ht="16.5">
      <c r="A41" s="19">
        <v>1</v>
      </c>
      <c r="B41" s="15">
        <v>-0.8217296287421121</v>
      </c>
      <c r="C41" s="11">
        <v>246.64712192512508</v>
      </c>
      <c r="D41" s="4">
        <v>-0.004352904612639874</v>
      </c>
      <c r="E41" s="31">
        <f t="shared" si="0"/>
        <v>0.8217411578661593</v>
      </c>
      <c r="F41" s="31">
        <f t="shared" si="1"/>
        <v>0.7746685163724836</v>
      </c>
      <c r="G41" s="31">
        <f t="shared" si="2"/>
        <v>232.5214441905492</v>
      </c>
      <c r="H41" s="31">
        <f t="shared" si="3"/>
        <v>0.004103610287664269</v>
      </c>
      <c r="I41" s="31">
        <f t="shared" si="4"/>
        <v>0.7746793852143853</v>
      </c>
      <c r="J41" s="31">
        <f t="shared" si="5"/>
        <v>1.5492781611037143</v>
      </c>
      <c r="K41" s="31">
        <f t="shared" si="6"/>
        <v>73.97323653517627</v>
      </c>
      <c r="L41" s="31">
        <f t="shared" si="7"/>
        <v>1628.3623069630794</v>
      </c>
      <c r="M41" s="31">
        <f t="shared" si="8"/>
        <v>0.00021544096326640578</v>
      </c>
      <c r="N41" s="31">
        <f t="shared" si="9"/>
        <v>1633.608266220296</v>
      </c>
      <c r="O41" s="31">
        <f t="shared" si="10"/>
        <v>2590.3801106548613</v>
      </c>
      <c r="P41" s="31">
        <f t="shared" si="11"/>
        <v>5926.324135814377</v>
      </c>
      <c r="Q41" s="4">
        <f t="shared" si="12"/>
        <v>0.046751979364750645</v>
      </c>
      <c r="R41" s="25"/>
      <c r="S41" s="28">
        <f t="shared" si="13"/>
        <v>3.359119204226426</v>
      </c>
      <c r="T41" s="28">
        <f t="shared" si="14"/>
        <v>2.4541965235287626</v>
      </c>
      <c r="U41" s="28">
        <f t="shared" si="15"/>
        <v>1.5492781611037143</v>
      </c>
      <c r="V41" s="28">
        <f t="shared" si="16"/>
        <v>0.6443823099057824</v>
      </c>
      <c r="W41" s="28">
        <f t="shared" si="17"/>
        <v>0.26072552356928513</v>
      </c>
      <c r="X41" s="28">
        <f t="shared" si="18"/>
        <v>3919.303696644099</v>
      </c>
      <c r="Y41" s="28">
        <f t="shared" si="19"/>
        <v>3368.9766549899737</v>
      </c>
      <c r="Z41" s="28">
        <f t="shared" si="20"/>
        <v>2658.6792539232297</v>
      </c>
      <c r="AA41" s="28">
        <f t="shared" si="21"/>
        <v>1638.5787947725923</v>
      </c>
      <c r="AB41" s="28">
        <f t="shared" si="22"/>
        <v>934.358506718138</v>
      </c>
      <c r="AC41" s="28">
        <f t="shared" si="23"/>
        <v>223.0761246231835</v>
      </c>
      <c r="AD41" s="28">
        <f t="shared" si="24"/>
        <v>128.69636453392292</v>
      </c>
      <c r="AE41" s="28">
        <f t="shared" si="25"/>
        <v>59.600061551560536</v>
      </c>
      <c r="AF41" s="28">
        <f t="shared" si="26"/>
        <v>15.787480428718622</v>
      </c>
      <c r="AG41" s="28">
        <f t="shared" si="27"/>
        <v>4.843615088889008</v>
      </c>
      <c r="AH41" s="25"/>
      <c r="BX41" s="2"/>
    </row>
    <row r="42" spans="1:76" ht="16.5">
      <c r="A42" s="19">
        <v>2</v>
      </c>
      <c r="B42" s="15">
        <v>-0.821585611225844</v>
      </c>
      <c r="C42" s="11">
        <v>247.8761242952973</v>
      </c>
      <c r="D42" s="4">
        <v>-0.04666387906774721</v>
      </c>
      <c r="E42" s="31">
        <f t="shared" si="0"/>
        <v>0.8229097363520455</v>
      </c>
      <c r="F42" s="31">
        <f t="shared" si="1"/>
        <v>0.7745327468544368</v>
      </c>
      <c r="G42" s="31">
        <f t="shared" si="2"/>
        <v>233.68006061305425</v>
      </c>
      <c r="H42" s="31">
        <f t="shared" si="3"/>
        <v>0.04399140143082461</v>
      </c>
      <c r="I42" s="31">
        <f t="shared" si="4"/>
        <v>0.7757810382767337</v>
      </c>
      <c r="J42" s="31">
        <f t="shared" si="5"/>
        <v>1.5514813525958142</v>
      </c>
      <c r="K42" s="31">
        <f t="shared" si="6"/>
        <v>73.94730949578337</v>
      </c>
      <c r="L42" s="31">
        <f t="shared" si="7"/>
        <v>1629.8874091478724</v>
      </c>
      <c r="M42" s="31">
        <f t="shared" si="8"/>
        <v>0.024758917764421164</v>
      </c>
      <c r="N42" s="31">
        <f t="shared" si="9"/>
        <v>1638.2578005104463</v>
      </c>
      <c r="O42" s="31">
        <f t="shared" si="10"/>
        <v>2604.329591599514</v>
      </c>
      <c r="P42" s="31">
        <f t="shared" si="11"/>
        <v>5946.446869671381</v>
      </c>
      <c r="Q42" s="4">
        <f t="shared" si="12"/>
        <v>0.04691072492379957</v>
      </c>
      <c r="R42" s="25"/>
      <c r="S42" s="28">
        <f t="shared" si="13"/>
        <v>3.369004783196113</v>
      </c>
      <c r="T42" s="28">
        <f t="shared" si="14"/>
        <v>2.4599940894498853</v>
      </c>
      <c r="U42" s="28">
        <f t="shared" si="15"/>
        <v>1.5514813525958142</v>
      </c>
      <c r="V42" s="28">
        <f t="shared" si="16"/>
        <v>0.645572328380628</v>
      </c>
      <c r="W42" s="28">
        <f t="shared" si="17"/>
        <v>0.28386379001752815</v>
      </c>
      <c r="X42" s="28">
        <f t="shared" si="18"/>
        <v>3924.624172609175</v>
      </c>
      <c r="Y42" s="28">
        <f t="shared" si="19"/>
        <v>3372.941741961668</v>
      </c>
      <c r="Z42" s="28">
        <f t="shared" si="20"/>
        <v>2660.6754632836646</v>
      </c>
      <c r="AA42" s="28">
        <f t="shared" si="21"/>
        <v>1640.3302263216965</v>
      </c>
      <c r="AB42" s="28">
        <f t="shared" si="22"/>
        <v>988.6680971708585</v>
      </c>
      <c r="AC42" s="28">
        <f t="shared" si="23"/>
        <v>224.24675860449872</v>
      </c>
      <c r="AD42" s="28">
        <f t="shared" si="24"/>
        <v>129.22055512727073</v>
      </c>
      <c r="AE42" s="28">
        <f t="shared" si="25"/>
        <v>59.737586234092575</v>
      </c>
      <c r="AF42" s="28">
        <f t="shared" si="26"/>
        <v>15.828495895175676</v>
      </c>
      <c r="AG42" s="28">
        <f t="shared" si="27"/>
        <v>5.374860789466165</v>
      </c>
      <c r="AH42" s="25"/>
      <c r="BX42" s="2"/>
    </row>
    <row r="43" spans="1:76" ht="16.5">
      <c r="A43" s="19">
        <v>3</v>
      </c>
      <c r="B43" s="15">
        <v>-0.8208176406045933</v>
      </c>
      <c r="C43" s="11">
        <v>248.61971105177216</v>
      </c>
      <c r="D43" s="4">
        <v>-0.08816510333209439</v>
      </c>
      <c r="E43" s="31">
        <f t="shared" si="0"/>
        <v>0.8255390266809015</v>
      </c>
      <c r="F43" s="31">
        <f t="shared" si="1"/>
        <v>0.7738087585242454</v>
      </c>
      <c r="G43" s="31">
        <f t="shared" si="2"/>
        <v>234.38106156188746</v>
      </c>
      <c r="H43" s="31">
        <f t="shared" si="3"/>
        <v>0.08311581742361007</v>
      </c>
      <c r="I43" s="31">
        <f t="shared" si="4"/>
        <v>0.7782597470477506</v>
      </c>
      <c r="J43" s="31">
        <f t="shared" si="5"/>
        <v>1.5564385122156095</v>
      </c>
      <c r="K43" s="31">
        <f t="shared" si="6"/>
        <v>73.80913078686821</v>
      </c>
      <c r="L43" s="31">
        <f t="shared" si="7"/>
        <v>1628.4542375746678</v>
      </c>
      <c r="M43" s="31">
        <f t="shared" si="8"/>
        <v>0.08838191823091789</v>
      </c>
      <c r="N43" s="31">
        <f t="shared" si="9"/>
        <v>1648.743365587015</v>
      </c>
      <c r="O43" s="31">
        <f t="shared" si="10"/>
        <v>2627.874571173783</v>
      </c>
      <c r="P43" s="31">
        <f t="shared" si="11"/>
        <v>5978.969687040565</v>
      </c>
      <c r="Q43" s="4">
        <f t="shared" si="12"/>
        <v>0.04716729308505468</v>
      </c>
      <c r="R43" s="25"/>
      <c r="S43" s="28">
        <f t="shared" si="13"/>
        <v>3.375958927163271</v>
      </c>
      <c r="T43" s="28">
        <f t="shared" si="14"/>
        <v>2.46531078557438</v>
      </c>
      <c r="U43" s="28">
        <f t="shared" si="15"/>
        <v>1.5564385122156095</v>
      </c>
      <c r="V43" s="28">
        <f t="shared" si="16"/>
        <v>0.6567567254388018</v>
      </c>
      <c r="W43" s="28">
        <f t="shared" si="17"/>
        <v>0.3228667399606857</v>
      </c>
      <c r="X43" s="28">
        <f t="shared" si="18"/>
        <v>3928.358720931706</v>
      </c>
      <c r="Y43" s="28">
        <f t="shared" si="19"/>
        <v>3376.5724016454724</v>
      </c>
      <c r="Z43" s="28">
        <f t="shared" si="20"/>
        <v>2665.1610222761115</v>
      </c>
      <c r="AA43" s="28">
        <f t="shared" si="21"/>
        <v>1656.704804265794</v>
      </c>
      <c r="AB43" s="28">
        <f t="shared" si="22"/>
        <v>1075.2302128156998</v>
      </c>
      <c r="AC43" s="28">
        <f t="shared" si="23"/>
        <v>225.07206471016332</v>
      </c>
      <c r="AD43" s="28">
        <f t="shared" si="24"/>
        <v>129.70217979721852</v>
      </c>
      <c r="AE43" s="28">
        <f t="shared" si="25"/>
        <v>60.0475634006674</v>
      </c>
      <c r="AF43" s="28">
        <f t="shared" si="26"/>
        <v>16.216116612199198</v>
      </c>
      <c r="AG43" s="28">
        <f t="shared" si="27"/>
        <v>6.307769413884261</v>
      </c>
      <c r="AH43" s="25"/>
      <c r="BX43" s="2"/>
    </row>
    <row r="44" spans="1:76" ht="16.5">
      <c r="A44" s="19">
        <v>4</v>
      </c>
      <c r="B44" s="15">
        <v>-0.8198187393907777</v>
      </c>
      <c r="C44" s="11">
        <v>249.01848455721432</v>
      </c>
      <c r="D44" s="4">
        <v>-0.12932473383011736</v>
      </c>
      <c r="E44" s="31">
        <f t="shared" si="0"/>
        <v>0.8299564158656251</v>
      </c>
      <c r="F44" s="31">
        <f t="shared" si="1"/>
        <v>0.77286706518103</v>
      </c>
      <c r="G44" s="31">
        <f t="shared" si="2"/>
        <v>234.75699699006768</v>
      </c>
      <c r="H44" s="31">
        <f t="shared" si="3"/>
        <v>0.12191820299798947</v>
      </c>
      <c r="I44" s="31">
        <f t="shared" si="4"/>
        <v>0.7824241488245346</v>
      </c>
      <c r="J44" s="31">
        <f t="shared" si="5"/>
        <v>1.5647668824420193</v>
      </c>
      <c r="K44" s="31">
        <f t="shared" si="6"/>
        <v>73.629594761562</v>
      </c>
      <c r="L44" s="31">
        <f t="shared" si="7"/>
        <v>1625.655152024147</v>
      </c>
      <c r="M44" s="31">
        <f t="shared" si="8"/>
        <v>0.19016612980579795</v>
      </c>
      <c r="N44" s="31">
        <f t="shared" si="9"/>
        <v>1666.4351441949977</v>
      </c>
      <c r="O44" s="31">
        <f t="shared" si="10"/>
        <v>2658.028021077227</v>
      </c>
      <c r="P44" s="31">
        <f t="shared" si="11"/>
        <v>6023.93807818774</v>
      </c>
      <c r="Q44" s="4">
        <f t="shared" si="12"/>
        <v>0.04752204271514555</v>
      </c>
      <c r="R44" s="25"/>
      <c r="S44" s="28">
        <f t="shared" si="13"/>
        <v>3.3817084917723665</v>
      </c>
      <c r="T44" s="28">
        <f t="shared" si="14"/>
        <v>2.471337718746175</v>
      </c>
      <c r="U44" s="28">
        <f t="shared" si="15"/>
        <v>1.5647668824420193</v>
      </c>
      <c r="V44" s="28">
        <f t="shared" si="16"/>
        <v>0.6774275992271317</v>
      </c>
      <c r="W44" s="28">
        <f t="shared" si="17"/>
        <v>0.3724894461853994</v>
      </c>
      <c r="X44" s="28">
        <f t="shared" si="18"/>
        <v>3931.4412670664537</v>
      </c>
      <c r="Y44" s="28">
        <f t="shared" si="19"/>
        <v>3380.6816623825</v>
      </c>
      <c r="Z44" s="28">
        <f t="shared" si="20"/>
        <v>2672.6787857434097</v>
      </c>
      <c r="AA44" s="28">
        <f t="shared" si="21"/>
        <v>1686.5682379235377</v>
      </c>
      <c r="AB44" s="28">
        <f t="shared" si="22"/>
        <v>1177.6900972531785</v>
      </c>
      <c r="AC44" s="28">
        <f t="shared" si="23"/>
        <v>225.75554093653963</v>
      </c>
      <c r="AD44" s="28">
        <f t="shared" si="24"/>
        <v>130.24919828471863</v>
      </c>
      <c r="AE44" s="28">
        <f t="shared" si="25"/>
        <v>60.570054547943</v>
      </c>
      <c r="AF44" s="28">
        <f t="shared" si="26"/>
        <v>16.942678028119015</v>
      </c>
      <c r="AG44" s="28">
        <f t="shared" si="27"/>
        <v>7.562583219733922</v>
      </c>
      <c r="AH44" s="25"/>
      <c r="BX44" s="2"/>
    </row>
    <row r="45" spans="1:76" ht="16.5">
      <c r="A45" s="19">
        <v>5</v>
      </c>
      <c r="B45" s="15">
        <v>-0.8183791186552796</v>
      </c>
      <c r="C45" s="11">
        <v>249.07833636928586</v>
      </c>
      <c r="D45" s="4">
        <v>-0.17029335958175434</v>
      </c>
      <c r="E45" s="31">
        <f t="shared" si="0"/>
        <v>0.8359092116782976</v>
      </c>
      <c r="F45" s="31">
        <f t="shared" si="1"/>
        <v>0.7715098926752576</v>
      </c>
      <c r="G45" s="31">
        <f t="shared" si="2"/>
        <v>234.81342104104252</v>
      </c>
      <c r="H45" s="31">
        <f t="shared" si="3"/>
        <v>0.16054052282041417</v>
      </c>
      <c r="I45" s="31">
        <f t="shared" si="4"/>
        <v>0.7880360232649518</v>
      </c>
      <c r="J45" s="31">
        <f t="shared" si="5"/>
        <v>1.5759900473788124</v>
      </c>
      <c r="K45" s="31">
        <f t="shared" si="6"/>
        <v>73.37123125217805</v>
      </c>
      <c r="L45" s="31">
        <f t="shared" si="7"/>
        <v>1620.7750169474161</v>
      </c>
      <c r="M45" s="31">
        <f t="shared" si="8"/>
        <v>0.32973527346785686</v>
      </c>
      <c r="N45" s="31">
        <f t="shared" si="9"/>
        <v>1690.4256164036453</v>
      </c>
      <c r="O45" s="31">
        <f t="shared" si="10"/>
        <v>2692.068421489149</v>
      </c>
      <c r="P45" s="31">
        <f t="shared" si="11"/>
        <v>6076.970021365856</v>
      </c>
      <c r="Q45" s="4">
        <f t="shared" si="12"/>
        <v>0.04794040462993731</v>
      </c>
      <c r="R45" s="25"/>
      <c r="S45" s="28">
        <f t="shared" si="13"/>
        <v>3.385888794533444</v>
      </c>
      <c r="T45" s="28">
        <f t="shared" si="14"/>
        <v>2.4776760770625725</v>
      </c>
      <c r="U45" s="28">
        <f t="shared" si="15"/>
        <v>1.5759900473788124</v>
      </c>
      <c r="V45" s="28">
        <f t="shared" si="16"/>
        <v>0.7062864777934038</v>
      </c>
      <c r="W45" s="28">
        <f t="shared" si="17"/>
        <v>0.42914638607170535</v>
      </c>
      <c r="X45" s="28">
        <f t="shared" si="18"/>
        <v>3933.6795740865164</v>
      </c>
      <c r="Y45" s="28">
        <f t="shared" si="19"/>
        <v>3384.9959339590478</v>
      </c>
      <c r="Z45" s="28">
        <f t="shared" si="20"/>
        <v>2682.7735902079116</v>
      </c>
      <c r="AA45" s="28">
        <f t="shared" si="21"/>
        <v>1727.4326685919464</v>
      </c>
      <c r="AB45" s="28">
        <f t="shared" si="22"/>
        <v>1286.0366581518902</v>
      </c>
      <c r="AC45" s="28">
        <f t="shared" si="23"/>
        <v>226.25311286345257</v>
      </c>
      <c r="AD45" s="28">
        <f t="shared" si="24"/>
        <v>130.82569237285628</v>
      </c>
      <c r="AE45" s="28">
        <f t="shared" si="25"/>
        <v>61.277541876730325</v>
      </c>
      <c r="AF45" s="28">
        <f t="shared" si="26"/>
        <v>17.97910601454787</v>
      </c>
      <c r="AG45" s="28">
        <f t="shared" si="27"/>
        <v>9.088229320844404</v>
      </c>
      <c r="AH45" s="25"/>
      <c r="BX45" s="2"/>
    </row>
    <row r="46" spans="1:76" ht="16.5">
      <c r="A46" s="19">
        <v>6</v>
      </c>
      <c r="B46" s="15">
        <v>-0.8165897522528507</v>
      </c>
      <c r="C46" s="11">
        <v>248.9262978938888</v>
      </c>
      <c r="D46" s="4">
        <v>-0.21129872517543874</v>
      </c>
      <c r="E46" s="31">
        <f t="shared" si="0"/>
        <v>0.8434844247199457</v>
      </c>
      <c r="F46" s="31">
        <f t="shared" si="1"/>
        <v>0.7698230047163334</v>
      </c>
      <c r="G46" s="31">
        <f t="shared" si="2"/>
        <v>234.67008993060458</v>
      </c>
      <c r="H46" s="31">
        <f t="shared" si="3"/>
        <v>0.1991974783647784</v>
      </c>
      <c r="I46" s="31">
        <f t="shared" si="4"/>
        <v>0.7951773978033897</v>
      </c>
      <c r="J46" s="31">
        <f t="shared" si="5"/>
        <v>1.5902720533593926</v>
      </c>
      <c r="K46" s="31">
        <f t="shared" si="6"/>
        <v>73.05073312591414</v>
      </c>
      <c r="L46" s="31">
        <f t="shared" si="7"/>
        <v>1614.345790351478</v>
      </c>
      <c r="M46" s="31">
        <f t="shared" si="8"/>
        <v>0.5076492339637069</v>
      </c>
      <c r="N46" s="31">
        <f t="shared" si="9"/>
        <v>1721.202539364896</v>
      </c>
      <c r="O46" s="31">
        <f t="shared" si="10"/>
        <v>2728.915935406617</v>
      </c>
      <c r="P46" s="31">
        <f t="shared" si="11"/>
        <v>6138.022647482869</v>
      </c>
      <c r="Q46" s="4">
        <f t="shared" si="12"/>
        <v>0.04842204064089002</v>
      </c>
      <c r="R46" s="25"/>
      <c r="S46" s="28">
        <f t="shared" si="13"/>
        <v>3.389634154456492</v>
      </c>
      <c r="T46" s="28">
        <f t="shared" si="14"/>
        <v>2.4849942898146713</v>
      </c>
      <c r="U46" s="28">
        <f t="shared" si="15"/>
        <v>1.5902720533593926</v>
      </c>
      <c r="V46" s="28">
        <f t="shared" si="16"/>
        <v>0.7422435253413133</v>
      </c>
      <c r="W46" s="28">
        <f t="shared" si="17"/>
        <v>0.49099629535988526</v>
      </c>
      <c r="X46" s="28">
        <f t="shared" si="18"/>
        <v>3935.682921642389</v>
      </c>
      <c r="Y46" s="28">
        <f t="shared" si="19"/>
        <v>3389.967841040432</v>
      </c>
      <c r="Z46" s="28">
        <f t="shared" si="20"/>
        <v>2695.5605293178032</v>
      </c>
      <c r="AA46" s="28">
        <f t="shared" si="21"/>
        <v>1777.0810936681344</v>
      </c>
      <c r="AB46" s="28">
        <f t="shared" si="22"/>
        <v>1395.738295895714</v>
      </c>
      <c r="AC46" s="28">
        <f t="shared" si="23"/>
        <v>226.6993727897703</v>
      </c>
      <c r="AD46" s="28">
        <f t="shared" si="24"/>
        <v>131.4928502321523</v>
      </c>
      <c r="AE46" s="28">
        <f t="shared" si="25"/>
        <v>62.18347619027416</v>
      </c>
      <c r="AF46" s="28">
        <f t="shared" si="26"/>
        <v>19.30643386828776</v>
      </c>
      <c r="AG46" s="28">
        <f t="shared" si="27"/>
        <v>10.866862388131809</v>
      </c>
      <c r="AH46" s="25"/>
      <c r="BX46" s="2"/>
    </row>
    <row r="47" spans="1:76" ht="16.5">
      <c r="A47" s="19">
        <v>7</v>
      </c>
      <c r="B47" s="15">
        <v>-0.814521089821648</v>
      </c>
      <c r="C47" s="11">
        <v>248.45779899296454</v>
      </c>
      <c r="D47" s="4">
        <v>-0.25243209734431343</v>
      </c>
      <c r="E47" s="31">
        <f t="shared" si="0"/>
        <v>0.8527406226596068</v>
      </c>
      <c r="F47" s="31">
        <f t="shared" si="1"/>
        <v>0.7678728162353504</v>
      </c>
      <c r="G47" s="31">
        <f t="shared" si="2"/>
        <v>234.22842233604953</v>
      </c>
      <c r="H47" s="31">
        <f t="shared" si="3"/>
        <v>0.23797510944549932</v>
      </c>
      <c r="I47" s="31">
        <f t="shared" si="4"/>
        <v>0.8039034858916868</v>
      </c>
      <c r="J47" s="31">
        <f t="shared" si="5"/>
        <v>1.6077233215421967</v>
      </c>
      <c r="K47" s="31">
        <f t="shared" si="6"/>
        <v>72.68108387562197</v>
      </c>
      <c r="L47" s="31">
        <f t="shared" si="7"/>
        <v>1606.4451974017002</v>
      </c>
      <c r="M47" s="31">
        <f t="shared" si="8"/>
        <v>0.7245346048036004</v>
      </c>
      <c r="N47" s="31">
        <f t="shared" si="9"/>
        <v>1759.1859490840004</v>
      </c>
      <c r="O47" s="31">
        <f t="shared" si="10"/>
        <v>2767.482911314716</v>
      </c>
      <c r="P47" s="31">
        <f t="shared" si="11"/>
        <v>6206.519676280843</v>
      </c>
      <c r="Q47" s="4">
        <f t="shared" si="12"/>
        <v>0.048962404550038495</v>
      </c>
      <c r="R47" s="25"/>
      <c r="S47" s="28">
        <f t="shared" si="13"/>
        <v>3.3923554472023083</v>
      </c>
      <c r="T47" s="28">
        <f t="shared" si="14"/>
        <v>2.493083584839779</v>
      </c>
      <c r="U47" s="28">
        <f t="shared" si="15"/>
        <v>1.6077233215421967</v>
      </c>
      <c r="V47" s="28">
        <f t="shared" si="16"/>
        <v>0.7848573329354207</v>
      </c>
      <c r="W47" s="28">
        <f t="shared" si="17"/>
        <v>0.5560090145789456</v>
      </c>
      <c r="X47" s="28">
        <f t="shared" si="18"/>
        <v>3937.1372801409407</v>
      </c>
      <c r="Y47" s="28">
        <f t="shared" si="19"/>
        <v>3395.452034077702</v>
      </c>
      <c r="Z47" s="28">
        <f t="shared" si="20"/>
        <v>2711.096114462906</v>
      </c>
      <c r="AA47" s="28">
        <f t="shared" si="21"/>
        <v>1834.2351945965806</v>
      </c>
      <c r="AB47" s="28">
        <f t="shared" si="22"/>
        <v>1503.1438750543111</v>
      </c>
      <c r="AC47" s="28">
        <f t="shared" si="23"/>
        <v>227.02388669721924</v>
      </c>
      <c r="AD47" s="28">
        <f t="shared" si="24"/>
        <v>132.232227143479</v>
      </c>
      <c r="AE47" s="28">
        <f t="shared" si="25"/>
        <v>63.298991831670286</v>
      </c>
      <c r="AF47" s="28">
        <f t="shared" si="26"/>
        <v>20.93117921922827</v>
      </c>
      <c r="AG47" s="28">
        <f t="shared" si="27"/>
        <v>12.863773349543607</v>
      </c>
      <c r="AH47" s="25"/>
      <c r="BX47" s="2"/>
    </row>
    <row r="48" spans="1:76" ht="16.5">
      <c r="A48" s="19">
        <v>8</v>
      </c>
      <c r="B48" s="15">
        <v>-0.811908099555227</v>
      </c>
      <c r="C48" s="11">
        <v>247.71187929577997</v>
      </c>
      <c r="D48" s="4">
        <v>-0.2939766016246563</v>
      </c>
      <c r="E48" s="31">
        <f t="shared" si="0"/>
        <v>0.863491172176162</v>
      </c>
      <c r="F48" s="31">
        <f t="shared" si="1"/>
        <v>0.7654094740091699</v>
      </c>
      <c r="G48" s="31">
        <f t="shared" si="2"/>
        <v>233.52522205588494</v>
      </c>
      <c r="H48" s="31">
        <f t="shared" si="3"/>
        <v>0.27714032677318523</v>
      </c>
      <c r="I48" s="31">
        <f t="shared" si="4"/>
        <v>0.8140383428481376</v>
      </c>
      <c r="J48" s="31">
        <f t="shared" si="5"/>
        <v>1.6279919808717513</v>
      </c>
      <c r="K48" s="31">
        <f t="shared" si="6"/>
        <v>72.21550884579086</v>
      </c>
      <c r="L48" s="31">
        <f t="shared" si="7"/>
        <v>1596.2391414685094</v>
      </c>
      <c r="M48" s="31">
        <f t="shared" si="8"/>
        <v>0.982642427647707</v>
      </c>
      <c r="N48" s="31">
        <f t="shared" si="9"/>
        <v>1803.821864948192</v>
      </c>
      <c r="O48" s="31">
        <f t="shared" si="10"/>
        <v>2807.2844255338437</v>
      </c>
      <c r="P48" s="31">
        <f t="shared" si="11"/>
        <v>6280.543583223984</v>
      </c>
      <c r="Q48" s="4">
        <f t="shared" si="12"/>
        <v>0.04954636926249653</v>
      </c>
      <c r="R48" s="25"/>
      <c r="S48" s="28">
        <f t="shared" si="13"/>
        <v>3.3939669280509297</v>
      </c>
      <c r="T48" s="28">
        <f t="shared" si="14"/>
        <v>2.5017408938821957</v>
      </c>
      <c r="U48" s="28">
        <f t="shared" si="15"/>
        <v>1.6279919808717513</v>
      </c>
      <c r="V48" s="28">
        <f t="shared" si="16"/>
        <v>0.8330442231263521</v>
      </c>
      <c r="W48" s="28">
        <f t="shared" si="17"/>
        <v>0.6241168671225484</v>
      </c>
      <c r="X48" s="28">
        <f t="shared" si="18"/>
        <v>3937.99802761074</v>
      </c>
      <c r="Y48" s="28">
        <f t="shared" si="19"/>
        <v>3401.3078936605343</v>
      </c>
      <c r="Z48" s="28">
        <f t="shared" si="20"/>
        <v>2729.0189576416064</v>
      </c>
      <c r="AA48" s="28">
        <f t="shared" si="21"/>
        <v>1896.8427437662642</v>
      </c>
      <c r="AB48" s="28">
        <f t="shared" si="22"/>
        <v>1608.4745039484844</v>
      </c>
      <c r="AC48" s="28">
        <f t="shared" si="23"/>
        <v>227.21616342680434</v>
      </c>
      <c r="AD48" s="28">
        <f t="shared" si="24"/>
        <v>133.02575976031167</v>
      </c>
      <c r="AE48" s="28">
        <f t="shared" si="25"/>
        <v>64.60640257235248</v>
      </c>
      <c r="AF48" s="28">
        <f t="shared" si="26"/>
        <v>22.835956214989007</v>
      </c>
      <c r="AG48" s="28">
        <f t="shared" si="27"/>
        <v>15.095719067132592</v>
      </c>
      <c r="AH48" s="25"/>
      <c r="BX48" s="2"/>
    </row>
    <row r="49" spans="1:76" ht="16.5">
      <c r="A49" s="19">
        <v>9</v>
      </c>
      <c r="B49" s="15">
        <v>-0.808983216110299</v>
      </c>
      <c r="C49" s="11">
        <v>246.684348194236</v>
      </c>
      <c r="D49" s="4">
        <v>-0.3360578703147423</v>
      </c>
      <c r="E49" s="31">
        <f t="shared" si="0"/>
        <v>0.8760072694610718</v>
      </c>
      <c r="F49" s="31">
        <f t="shared" si="1"/>
        <v>0.7626521009760066</v>
      </c>
      <c r="G49" s="31">
        <f t="shared" si="2"/>
        <v>232.55653848148575</v>
      </c>
      <c r="H49" s="31">
        <f t="shared" si="3"/>
        <v>0.31681156758401346</v>
      </c>
      <c r="I49" s="31">
        <f t="shared" si="4"/>
        <v>0.8258376332416418</v>
      </c>
      <c r="J49" s="31">
        <f t="shared" si="5"/>
        <v>1.6515893338826593</v>
      </c>
      <c r="K49" s="31">
        <f t="shared" si="6"/>
        <v>71.69613606237131</v>
      </c>
      <c r="L49" s="31">
        <f t="shared" si="7"/>
        <v>1584.5368067222498</v>
      </c>
      <c r="M49" s="31">
        <f t="shared" si="8"/>
        <v>1.2840978627841013</v>
      </c>
      <c r="N49" s="31">
        <f t="shared" si="9"/>
        <v>1856.4927743905278</v>
      </c>
      <c r="O49" s="31">
        <f t="shared" si="10"/>
        <v>2848.2869780130122</v>
      </c>
      <c r="P49" s="31">
        <f t="shared" si="11"/>
        <v>6362.296793050946</v>
      </c>
      <c r="Q49" s="4">
        <f t="shared" si="12"/>
        <v>0.0501913094127887</v>
      </c>
      <c r="R49" s="25"/>
      <c r="S49" s="28">
        <f t="shared" si="13"/>
        <v>3.394996492487788</v>
      </c>
      <c r="T49" s="28">
        <f t="shared" si="14"/>
        <v>2.511520515454172</v>
      </c>
      <c r="U49" s="28">
        <f t="shared" si="15"/>
        <v>1.6515893338826593</v>
      </c>
      <c r="V49" s="28">
        <f t="shared" si="16"/>
        <v>0.8865874287106207</v>
      </c>
      <c r="W49" s="28">
        <f t="shared" si="17"/>
        <v>0.6946978641146226</v>
      </c>
      <c r="X49" s="28">
        <f t="shared" si="18"/>
        <v>3938.547763923756</v>
      </c>
      <c r="Y49" s="28">
        <f t="shared" si="19"/>
        <v>3407.9062617669883</v>
      </c>
      <c r="Z49" s="28">
        <f t="shared" si="20"/>
        <v>2749.7244014786306</v>
      </c>
      <c r="AA49" s="28">
        <f t="shared" si="21"/>
        <v>1964.1158346418995</v>
      </c>
      <c r="AB49" s="28">
        <f t="shared" si="22"/>
        <v>1711.1357464139853</v>
      </c>
      <c r="AC49" s="28">
        <f t="shared" si="23"/>
        <v>227.3390497320494</v>
      </c>
      <c r="AD49" s="28">
        <f t="shared" si="24"/>
        <v>133.92494750868346</v>
      </c>
      <c r="AE49" s="28">
        <f t="shared" si="25"/>
        <v>66.14450732030942</v>
      </c>
      <c r="AF49" s="28">
        <f t="shared" si="26"/>
        <v>25.036550459854706</v>
      </c>
      <c r="AG49" s="28">
        <f t="shared" si="27"/>
        <v>17.55982681890592</v>
      </c>
      <c r="AH49" s="25"/>
      <c r="BX49" s="2"/>
    </row>
    <row r="50" spans="1:76" ht="16.5">
      <c r="A50" s="19">
        <v>10</v>
      </c>
      <c r="B50" s="15">
        <v>-0.805486638655367</v>
      </c>
      <c r="C50" s="11">
        <v>245.26913205326798</v>
      </c>
      <c r="D50" s="4">
        <v>-0.3788205015613247</v>
      </c>
      <c r="E50" s="31">
        <f t="shared" si="0"/>
        <v>0.8901200466540989</v>
      </c>
      <c r="F50" s="31">
        <f t="shared" si="1"/>
        <v>0.7593557753055545</v>
      </c>
      <c r="G50" s="31">
        <f t="shared" si="2"/>
        <v>231.2223728996163</v>
      </c>
      <c r="H50" s="31">
        <f t="shared" si="3"/>
        <v>0.357125148773344</v>
      </c>
      <c r="I50" s="31">
        <f t="shared" si="4"/>
        <v>0.8391421604092377</v>
      </c>
      <c r="J50" s="31">
        <f t="shared" si="5"/>
        <v>1.6781970038142182</v>
      </c>
      <c r="K50" s="31">
        <f t="shared" si="6"/>
        <v>71.07770709875975</v>
      </c>
      <c r="L50" s="31">
        <f t="shared" si="7"/>
        <v>1570.2983223657327</v>
      </c>
      <c r="M50" s="31">
        <f t="shared" si="8"/>
        <v>1.631687291423502</v>
      </c>
      <c r="N50" s="31">
        <f t="shared" si="9"/>
        <v>1916.792083447851</v>
      </c>
      <c r="O50" s="31">
        <f t="shared" si="10"/>
        <v>2889.9798407827243</v>
      </c>
      <c r="P50" s="31">
        <f t="shared" si="11"/>
        <v>6449.779640986491</v>
      </c>
      <c r="Q50" s="4">
        <f t="shared" si="12"/>
        <v>0.05088144991265359</v>
      </c>
      <c r="R50" s="25"/>
      <c r="S50" s="28">
        <f t="shared" si="13"/>
        <v>3.394363767047095</v>
      </c>
      <c r="T50" s="28">
        <f t="shared" si="14"/>
        <v>2.521756944651267</v>
      </c>
      <c r="U50" s="28">
        <f t="shared" si="15"/>
        <v>1.6781970038142182</v>
      </c>
      <c r="V50" s="28">
        <f t="shared" si="16"/>
        <v>0.944969137159789</v>
      </c>
      <c r="W50" s="28">
        <f t="shared" si="17"/>
        <v>0.7675431894150242</v>
      </c>
      <c r="X50" s="28">
        <f t="shared" si="18"/>
        <v>3938.209937440008</v>
      </c>
      <c r="Y50" s="28">
        <f t="shared" si="19"/>
        <v>3414.794017378539</v>
      </c>
      <c r="Z50" s="28">
        <f t="shared" si="20"/>
        <v>2772.8676591871736</v>
      </c>
      <c r="AA50" s="28">
        <f t="shared" si="21"/>
        <v>2034.9696061440447</v>
      </c>
      <c r="AB50" s="28">
        <f t="shared" si="22"/>
        <v>1811.2245525137787</v>
      </c>
      <c r="AC50" s="28">
        <f t="shared" si="23"/>
        <v>227.26352528726787</v>
      </c>
      <c r="AD50" s="28">
        <f t="shared" si="24"/>
        <v>134.86929950272574</v>
      </c>
      <c r="AE50" s="28">
        <f t="shared" si="25"/>
        <v>67.89945036082982</v>
      </c>
      <c r="AF50" s="28">
        <f t="shared" si="26"/>
        <v>27.53687907187852</v>
      </c>
      <c r="AG50" s="28">
        <f t="shared" si="27"/>
        <v>20.264277027373875</v>
      </c>
      <c r="AH50" s="25"/>
      <c r="BX50" s="2"/>
    </row>
    <row r="51" spans="1:76" ht="16.5">
      <c r="A51" s="19">
        <v>11</v>
      </c>
      <c r="B51" s="15">
        <v>-0.8015244467186982</v>
      </c>
      <c r="C51" s="11">
        <v>243.52097485084414</v>
      </c>
      <c r="D51" s="4">
        <v>-0.42258181905155917</v>
      </c>
      <c r="E51" s="31">
        <f t="shared" si="0"/>
        <v>0.9060997916789518</v>
      </c>
      <c r="F51" s="31">
        <f t="shared" si="1"/>
        <v>0.7556205012667434</v>
      </c>
      <c r="G51" s="31">
        <f t="shared" si="2"/>
        <v>229.57433405688818</v>
      </c>
      <c r="H51" s="31">
        <f t="shared" si="3"/>
        <v>0.3983802206472394</v>
      </c>
      <c r="I51" s="31">
        <f t="shared" si="4"/>
        <v>0.8542067326692921</v>
      </c>
      <c r="J51" s="31">
        <f t="shared" si="5"/>
        <v>1.7083245807890621</v>
      </c>
      <c r="K51" s="31">
        <f t="shared" si="6"/>
        <v>70.38016389725463</v>
      </c>
      <c r="L51" s="31">
        <f t="shared" si="7"/>
        <v>1554.0078146327219</v>
      </c>
      <c r="M51" s="31">
        <f t="shared" si="8"/>
        <v>2.030446720649094</v>
      </c>
      <c r="N51" s="31">
        <f t="shared" si="9"/>
        <v>1986.2316780970673</v>
      </c>
      <c r="O51" s="31">
        <f t="shared" si="10"/>
        <v>2932.771739992423</v>
      </c>
      <c r="P51" s="31">
        <f t="shared" si="11"/>
        <v>6545.421843340116</v>
      </c>
      <c r="Q51" s="4">
        <f t="shared" si="12"/>
        <v>0.05163595846945251</v>
      </c>
      <c r="R51" s="25"/>
      <c r="S51" s="28">
        <f t="shared" si="13"/>
        <v>3.3929436443080387</v>
      </c>
      <c r="T51" s="28">
        <f t="shared" si="14"/>
        <v>2.533170865088996</v>
      </c>
      <c r="U51" s="28">
        <f t="shared" si="15"/>
        <v>1.7083245807890621</v>
      </c>
      <c r="V51" s="28">
        <f t="shared" si="16"/>
        <v>1.0081276200102272</v>
      </c>
      <c r="W51" s="28">
        <f t="shared" si="17"/>
        <v>0.8430895008442543</v>
      </c>
      <c r="X51" s="28">
        <f t="shared" si="18"/>
        <v>3937.451498453369</v>
      </c>
      <c r="Y51" s="28">
        <f t="shared" si="19"/>
        <v>3422.451464372897</v>
      </c>
      <c r="Z51" s="28">
        <f t="shared" si="20"/>
        <v>2798.8175993205377</v>
      </c>
      <c r="AA51" s="28">
        <f t="shared" si="21"/>
        <v>2108.9614320202145</v>
      </c>
      <c r="AB51" s="28">
        <f t="shared" si="22"/>
        <v>1909.6412582047033</v>
      </c>
      <c r="AC51" s="28">
        <f t="shared" si="23"/>
        <v>227.09405919877244</v>
      </c>
      <c r="AD51" s="28">
        <f t="shared" si="24"/>
        <v>135.92609468633333</v>
      </c>
      <c r="AE51" s="28">
        <f t="shared" si="25"/>
        <v>69.91294075670936</v>
      </c>
      <c r="AF51" s="28">
        <f t="shared" si="26"/>
        <v>30.360287156320258</v>
      </c>
      <c r="AG51" s="28">
        <f t="shared" si="27"/>
        <v>23.242065792259943</v>
      </c>
      <c r="AH51" s="25"/>
      <c r="BX51" s="2"/>
    </row>
    <row r="52" spans="1:76" ht="16.5">
      <c r="A52" s="19">
        <v>12</v>
      </c>
      <c r="B52" s="15">
        <v>-0.7970047609221869</v>
      </c>
      <c r="C52" s="11">
        <v>241.13815804634072</v>
      </c>
      <c r="D52" s="4">
        <v>-0.4676103714250752</v>
      </c>
      <c r="E52" s="31">
        <f t="shared" si="0"/>
        <v>0.924054137156979</v>
      </c>
      <c r="F52" s="31">
        <f t="shared" si="1"/>
        <v>0.75135966148686</v>
      </c>
      <c r="G52" s="31">
        <f t="shared" si="2"/>
        <v>227.32798307456113</v>
      </c>
      <c r="H52" s="31">
        <f t="shared" si="3"/>
        <v>0.4408299518501769</v>
      </c>
      <c r="I52" s="31">
        <f t="shared" si="4"/>
        <v>0.8711328184369352</v>
      </c>
      <c r="J52" s="31">
        <f t="shared" si="5"/>
        <v>1.742174991079147</v>
      </c>
      <c r="K52" s="31">
        <f t="shared" si="6"/>
        <v>69.58867368620218</v>
      </c>
      <c r="L52" s="31">
        <f t="shared" si="7"/>
        <v>1534.9059673527954</v>
      </c>
      <c r="M52" s="31">
        <f t="shared" si="8"/>
        <v>2.486212534538874</v>
      </c>
      <c r="N52" s="31">
        <f t="shared" si="9"/>
        <v>2065.7258041470404</v>
      </c>
      <c r="O52" s="31">
        <f t="shared" si="10"/>
        <v>2976.347018647958</v>
      </c>
      <c r="P52" s="31">
        <f t="shared" si="11"/>
        <v>6649.053676368535</v>
      </c>
      <c r="Q52" s="4">
        <f t="shared" si="12"/>
        <v>0.0524534961552494</v>
      </c>
      <c r="R52" s="25"/>
      <c r="S52" s="28">
        <f t="shared" si="13"/>
        <v>3.3887587728408994</v>
      </c>
      <c r="T52" s="28">
        <f t="shared" si="14"/>
        <v>2.5449381430720868</v>
      </c>
      <c r="U52" s="28">
        <f t="shared" si="15"/>
        <v>1.742174991079147</v>
      </c>
      <c r="V52" s="28">
        <f t="shared" si="16"/>
        <v>1.0766042276256529</v>
      </c>
      <c r="W52" s="28">
        <f t="shared" si="17"/>
        <v>0.9210966519658027</v>
      </c>
      <c r="X52" s="28">
        <f t="shared" si="18"/>
        <v>3935.214866000669</v>
      </c>
      <c r="Y52" s="28">
        <f t="shared" si="19"/>
        <v>3430.321137374546</v>
      </c>
      <c r="Z52" s="28">
        <f t="shared" si="20"/>
        <v>2827.6587615283715</v>
      </c>
      <c r="AA52" s="28">
        <f t="shared" si="21"/>
        <v>2186.358022115077</v>
      </c>
      <c r="AB52" s="28">
        <f t="shared" si="22"/>
        <v>2006.2964319093714</v>
      </c>
      <c r="AC52" s="28">
        <f t="shared" si="23"/>
        <v>226.59503221793736</v>
      </c>
      <c r="AD52" s="28">
        <f t="shared" si="24"/>
        <v>137.01981768862476</v>
      </c>
      <c r="AE52" s="28">
        <f t="shared" si="25"/>
        <v>72.2086689139368</v>
      </c>
      <c r="AF52" s="28">
        <f t="shared" si="26"/>
        <v>33.56058734325705</v>
      </c>
      <c r="AG52" s="28">
        <f t="shared" si="27"/>
        <v>26.501768147997726</v>
      </c>
      <c r="AH52" s="25"/>
      <c r="BX52" s="2"/>
    </row>
    <row r="53" spans="1:76" ht="16.5">
      <c r="A53" s="19">
        <v>13</v>
      </c>
      <c r="B53" s="15">
        <v>-0.7918310116276626</v>
      </c>
      <c r="C53" s="11">
        <v>238.16823057209103</v>
      </c>
      <c r="D53" s="4">
        <v>-0.5142884104791888</v>
      </c>
      <c r="E53" s="31">
        <f t="shared" si="0"/>
        <v>0.9441869095303631</v>
      </c>
      <c r="F53" s="31">
        <f t="shared" si="1"/>
        <v>0.7464822169480674</v>
      </c>
      <c r="G53" s="31">
        <f t="shared" si="2"/>
        <v>224.5281457196239</v>
      </c>
      <c r="H53" s="31">
        <f t="shared" si="3"/>
        <v>0.48483470231363546</v>
      </c>
      <c r="I53" s="31">
        <f t="shared" si="4"/>
        <v>0.8901125708511554</v>
      </c>
      <c r="J53" s="31">
        <f t="shared" si="5"/>
        <v>1.78013252096794</v>
      </c>
      <c r="K53" s="31">
        <f t="shared" si="6"/>
        <v>68.68813760637812</v>
      </c>
      <c r="L53" s="31">
        <f t="shared" si="7"/>
        <v>1512.807457336466</v>
      </c>
      <c r="M53" s="31">
        <f t="shared" si="8"/>
        <v>3.0073464113199013</v>
      </c>
      <c r="N53" s="31">
        <f t="shared" si="9"/>
        <v>2156.7201350570654</v>
      </c>
      <c r="O53" s="31">
        <f t="shared" si="10"/>
        <v>3021.136762359506</v>
      </c>
      <c r="P53" s="31">
        <f t="shared" si="11"/>
        <v>6762.359838770735</v>
      </c>
      <c r="Q53" s="4">
        <f t="shared" si="12"/>
        <v>0.05334735333300885</v>
      </c>
      <c r="R53" s="25"/>
      <c r="S53" s="28">
        <f t="shared" si="13"/>
        <v>3.3824768558803484</v>
      </c>
      <c r="T53" s="28">
        <f t="shared" si="14"/>
        <v>2.557626380582064</v>
      </c>
      <c r="U53" s="28">
        <f t="shared" si="15"/>
        <v>1.78013252096794</v>
      </c>
      <c r="V53" s="28">
        <f t="shared" si="16"/>
        <v>1.1503942581746938</v>
      </c>
      <c r="W53" s="28">
        <f t="shared" si="17"/>
        <v>1.0025258967977826</v>
      </c>
      <c r="X53" s="28">
        <f t="shared" si="18"/>
        <v>3931.8528641813696</v>
      </c>
      <c r="Y53" s="28">
        <f t="shared" si="19"/>
        <v>3438.778610856403</v>
      </c>
      <c r="Z53" s="28">
        <f t="shared" si="20"/>
        <v>2859.612546050846</v>
      </c>
      <c r="AA53" s="28">
        <f t="shared" si="21"/>
        <v>2266.783961692092</v>
      </c>
      <c r="AB53" s="28">
        <f t="shared" si="22"/>
        <v>2102.5037545393643</v>
      </c>
      <c r="AC53" s="28">
        <f t="shared" si="23"/>
        <v>225.84695709688194</v>
      </c>
      <c r="AD53" s="28">
        <f t="shared" si="24"/>
        <v>138.20393055606007</v>
      </c>
      <c r="AE53" s="28">
        <f t="shared" si="25"/>
        <v>74.82501855215746</v>
      </c>
      <c r="AF53" s="28">
        <f t="shared" si="26"/>
        <v>37.17127533707166</v>
      </c>
      <c r="AG53" s="28">
        <f t="shared" si="27"/>
        <v>30.104892935283605</v>
      </c>
      <c r="AH53" s="25"/>
      <c r="BX53" s="2"/>
    </row>
    <row r="54" spans="1:76" ht="16.5">
      <c r="A54" s="19">
        <v>14</v>
      </c>
      <c r="B54" s="15">
        <v>-0.7860744857851696</v>
      </c>
      <c r="C54" s="11">
        <v>234.15578260976827</v>
      </c>
      <c r="D54" s="4">
        <v>-0.5627596874814667</v>
      </c>
      <c r="E54" s="31">
        <f t="shared" si="0"/>
        <v>0.96675310346368</v>
      </c>
      <c r="F54" s="31">
        <f t="shared" si="1"/>
        <v>0.7410553719398252</v>
      </c>
      <c r="G54" s="31">
        <f t="shared" si="2"/>
        <v>220.74549385790075</v>
      </c>
      <c r="H54" s="31">
        <f t="shared" si="3"/>
        <v>0.530529990555236</v>
      </c>
      <c r="I54" s="31">
        <f t="shared" si="4"/>
        <v>0.9113863808283572</v>
      </c>
      <c r="J54" s="31">
        <f t="shared" si="5"/>
        <v>1.8226779272743543</v>
      </c>
      <c r="K54" s="31">
        <f t="shared" si="6"/>
        <v>67.69305719786547</v>
      </c>
      <c r="L54" s="31">
        <f t="shared" si="7"/>
        <v>1487.315412711992</v>
      </c>
      <c r="M54" s="31">
        <f t="shared" si="8"/>
        <v>3.600940464250087</v>
      </c>
      <c r="N54" s="31">
        <f t="shared" si="9"/>
        <v>2261.043890720378</v>
      </c>
      <c r="O54" s="31">
        <f t="shared" si="10"/>
        <v>3066.7721047825557</v>
      </c>
      <c r="P54" s="31">
        <f t="shared" si="11"/>
        <v>6886.425405877041</v>
      </c>
      <c r="Q54" s="4">
        <f t="shared" si="12"/>
        <v>0.05432609001704833</v>
      </c>
      <c r="R54" s="25"/>
      <c r="S54" s="28">
        <f t="shared" si="13"/>
        <v>3.3715256203206843</v>
      </c>
      <c r="T54" s="28">
        <f t="shared" si="14"/>
        <v>2.5703351277983657</v>
      </c>
      <c r="U54" s="28">
        <f t="shared" si="15"/>
        <v>1.8226779272743543</v>
      </c>
      <c r="V54" s="28">
        <f t="shared" si="16"/>
        <v>1.2303582732746796</v>
      </c>
      <c r="W54" s="28">
        <f t="shared" si="17"/>
        <v>1.0869694712001756</v>
      </c>
      <c r="X54" s="28">
        <f t="shared" si="18"/>
        <v>3925.9787078164454</v>
      </c>
      <c r="Y54" s="28">
        <f t="shared" si="19"/>
        <v>3447.2206570473163</v>
      </c>
      <c r="Z54" s="28">
        <f t="shared" si="20"/>
        <v>2894.9561884227505</v>
      </c>
      <c r="AA54" s="28">
        <f t="shared" si="21"/>
        <v>2350.787402163511</v>
      </c>
      <c r="AB54" s="28">
        <f t="shared" si="22"/>
        <v>2197.834896779229</v>
      </c>
      <c r="AC54" s="28">
        <f t="shared" si="23"/>
        <v>224.54575478835787</v>
      </c>
      <c r="AD54" s="28">
        <f t="shared" si="24"/>
        <v>139.394940153577</v>
      </c>
      <c r="AE54" s="28">
        <f t="shared" si="25"/>
        <v>77.8104770454427</v>
      </c>
      <c r="AF54" s="28">
        <f t="shared" si="26"/>
        <v>41.27386992996084</v>
      </c>
      <c r="AG54" s="28">
        <f t="shared" si="27"/>
        <v>34.057629766185954</v>
      </c>
      <c r="AH54" s="25"/>
      <c r="BX54" s="2"/>
    </row>
    <row r="55" spans="1:76" ht="16.5">
      <c r="A55" s="15">
        <f>J26</f>
        <v>15.673373548625944</v>
      </c>
      <c r="B55" s="15">
        <v>-0.7797235727397585</v>
      </c>
      <c r="C55" s="11">
        <v>228.70524440167958</v>
      </c>
      <c r="D55" s="4">
        <v>-0.6155142377819834</v>
      </c>
      <c r="E55" s="31">
        <f t="shared" si="0"/>
        <v>0.9933914771118129</v>
      </c>
      <c r="F55" s="31">
        <f t="shared" si="1"/>
        <v>0.7350681807586693</v>
      </c>
      <c r="G55" s="31">
        <f t="shared" si="2"/>
        <v>215.60711232776765</v>
      </c>
      <c r="H55" s="31">
        <f t="shared" si="3"/>
        <v>0.5802632456111085</v>
      </c>
      <c r="I55" s="31">
        <f t="shared" si="4"/>
        <v>0.9364991535345867</v>
      </c>
      <c r="J55" s="31">
        <f t="shared" si="5"/>
        <v>1.8729008595752514</v>
      </c>
      <c r="K55" s="31">
        <f t="shared" si="6"/>
        <v>66.60365400278165</v>
      </c>
      <c r="L55" s="31">
        <f t="shared" si="7"/>
        <v>1457.9144007297489</v>
      </c>
      <c r="M55" s="31">
        <f t="shared" si="8"/>
        <v>4.3077073183782435</v>
      </c>
      <c r="N55" s="31">
        <f t="shared" si="9"/>
        <v>2387.3643382127048</v>
      </c>
      <c r="O55" s="31">
        <f t="shared" si="10"/>
        <v>3115.7700554893795</v>
      </c>
      <c r="P55" s="31">
        <f t="shared" si="11"/>
        <v>7031.960155752993</v>
      </c>
      <c r="Q55" s="4">
        <f>P55*J$31*(A55-A54)</f>
        <v>0.09282904923193465</v>
      </c>
      <c r="R55" s="25"/>
      <c r="S55" s="28">
        <f t="shared" si="13"/>
        <v>3.3553259217794933</v>
      </c>
      <c r="T55" s="28">
        <f t="shared" si="14"/>
        <v>2.5843562699725506</v>
      </c>
      <c r="U55" s="28">
        <f t="shared" si="15"/>
        <v>1.8729008595752514</v>
      </c>
      <c r="V55" s="28">
        <f t="shared" si="16"/>
        <v>1.3209061057922493</v>
      </c>
      <c r="W55" s="28">
        <f t="shared" si="17"/>
        <v>1.1789839955279395</v>
      </c>
      <c r="X55" s="28">
        <f t="shared" si="18"/>
        <v>3917.258485367159</v>
      </c>
      <c r="Y55" s="28">
        <f t="shared" si="19"/>
        <v>3456.500878336298</v>
      </c>
      <c r="Z55" s="28">
        <f t="shared" si="20"/>
        <v>2936.0550364723267</v>
      </c>
      <c r="AA55" s="28">
        <f t="shared" si="21"/>
        <v>2442.335707245613</v>
      </c>
      <c r="AB55" s="28">
        <f t="shared" si="22"/>
        <v>2297.177877138417</v>
      </c>
      <c r="AC55" s="28">
        <f t="shared" si="23"/>
        <v>222.6277313840784</v>
      </c>
      <c r="AD55" s="28">
        <f t="shared" si="24"/>
        <v>140.71472755737182</v>
      </c>
      <c r="AE55" s="28">
        <f t="shared" si="25"/>
        <v>81.40660122170243</v>
      </c>
      <c r="AF55" s="28">
        <f t="shared" si="26"/>
        <v>46.15782067190096</v>
      </c>
      <c r="AG55" s="28">
        <f t="shared" si="27"/>
        <v>38.61541205203289</v>
      </c>
      <c r="AH55" s="25"/>
      <c r="BX55" s="2"/>
    </row>
    <row r="56" spans="2:76" ht="16.5">
      <c r="B56" s="15"/>
      <c r="D56" s="4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R56" s="25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30"/>
      <c r="AE56" s="30"/>
      <c r="AF56" s="30"/>
      <c r="AG56" s="30"/>
      <c r="AH56" s="25"/>
      <c r="BX56" s="2"/>
    </row>
    <row r="57" spans="1:76" ht="16.5">
      <c r="A57" s="15">
        <f>I27</f>
        <v>17.081863443783423</v>
      </c>
      <c r="B57" s="15">
        <v>-0.7697157603408762</v>
      </c>
      <c r="C57" s="11">
        <v>221.1340494294688</v>
      </c>
      <c r="D57" s="4">
        <v>-0.471884695094082</v>
      </c>
      <c r="E57" s="31">
        <f aca="true" t="shared" si="28" ref="E57:E76">SQRT(B57^2+D57^2)</f>
        <v>0.9028496647732489</v>
      </c>
      <c r="F57" s="31">
        <f aca="true" t="shared" si="29" ref="F57:F76">-B57*$E$26*(1-$E$30)/$E$27/$E$31</f>
        <v>0.7256335237717427</v>
      </c>
      <c r="G57" s="31">
        <f aca="true" t="shared" si="30" ref="G57:G76">C57*$E$26*(1-$E$30)/$E$27/$E$31</f>
        <v>208.46952574072003</v>
      </c>
      <c r="H57" s="31">
        <f aca="true" t="shared" si="31" ref="H57:H76">-D57*$E$26*(1-$E$30)/$E$27/$E$31</f>
        <v>0.4448594815876332</v>
      </c>
      <c r="I57" s="31">
        <f aca="true" t="shared" si="32" ref="I57:I76">E57*$E$26*(1-$E$30)/$E$27/$E$31</f>
        <v>0.85114274312821</v>
      </c>
      <c r="J57" s="31">
        <f aca="true" t="shared" si="33" ref="J57:J76">E57*E$26/E$27</f>
        <v>1.7021969205305734</v>
      </c>
      <c r="K57" s="31">
        <f aca="true" t="shared" si="34" ref="K57:K76">E$33*E$13/120*E$5*F57^2/E$6*E$3*E$8*(E$8-1)/E$4</f>
        <v>64.90490012907398</v>
      </c>
      <c r="L57" s="31">
        <f aca="true" t="shared" si="35" ref="L57:L76">E$33*E$13/6*F57^2*E$3/E$7/E$4*SQRT(E$5^2+16*E$3^2)*(1+(G57*E$3/F57)^2/15)</f>
        <v>1413.8276810687971</v>
      </c>
      <c r="M57" s="31">
        <f aca="true" t="shared" si="36" ref="M57:M76">E$34*E$13*H57^2/8*E$4/E$7/E$3*SQRT(E$5^2+16*E$3^2)</f>
        <v>2.5318721122952237</v>
      </c>
      <c r="N57" s="31">
        <f aca="true" t="shared" si="37" ref="N57:N76">E$33*2*E$13*E$14*I57^2/E$12*E$19</f>
        <v>1972.0082397565297</v>
      </c>
      <c r="O57" s="31">
        <f aca="true" t="shared" si="38" ref="O57:O76">(X57+AC57+Y57+AD57+Z57+AE57+AA57+AF57+AB57+AG57)/5</f>
        <v>2927.0471198422483</v>
      </c>
      <c r="P57" s="31">
        <f aca="true" t="shared" si="39" ref="P57:P76">SUM(K57:O57)</f>
        <v>6380.319812908944</v>
      </c>
      <c r="Q57" s="4">
        <f>P57*J$31*(A58-A57)</f>
        <v>0.04621301772975434</v>
      </c>
      <c r="R57" s="25"/>
      <c r="S57" s="28">
        <f aca="true" t="shared" si="40" ref="S57:S76">SQRT(($B57-$C57*0.8*$E$3)^2+$D57^2)*$E$26/$E$27</f>
        <v>3.199995676926087</v>
      </c>
      <c r="T57" s="28">
        <f aca="true" t="shared" si="41" ref="T57:T76">SQRT(($B57-$C57*0.4*$E$3)^2+$D57^2)*$E$26/$E$27</f>
        <v>2.4311481414467946</v>
      </c>
      <c r="U57" s="28">
        <f aca="true" t="shared" si="42" ref="U57:U76">SQRT(($B57)^2+$D57^2)*$E$26/$E$27</f>
        <v>1.7021969205305734</v>
      </c>
      <c r="V57" s="28">
        <f aca="true" t="shared" si="43" ref="V57:V76">SQRT(($B57+$C57*0.4*$E$3)^2+$D57^2)*$E$26/$E$27</f>
        <v>1.0958793474449342</v>
      </c>
      <c r="W57" s="28">
        <f aca="true" t="shared" si="44" ref="W57:W76">SQRT(($B57+$C57*0.8*$E$3)^2+$D57^2)*$E$26/$E$27</f>
        <v>0.9060424103417609</v>
      </c>
      <c r="X57" s="28">
        <f aca="true" t="shared" si="45" ref="X57:X76">$E$35*$E$13*$E$14*$E$16/$E$31*2/3*$E$20/PI()*($E$21*$E$22*LN((S57+$E$22)/($E$30*S57+$E$22))+$E$23*S57*(1-$E$30)+$E$24*S57^2/2*(1-$E$30^2))</f>
        <v>3831.74953496283</v>
      </c>
      <c r="Y57" s="28">
        <f aca="true" t="shared" si="46" ref="Y57:Y76">$E$35*$E$13*$E$14*$E$16/$E$31*2/3*$E$20/PI()*($E$21*$E$22*LN((T57+$E$22)/($E$30*T57+$E$22))+$E$23*T57*(1-$E$30)+$E$24*T57^2/2*(1-$E$30^2))</f>
        <v>3353.1505935028536</v>
      </c>
      <c r="Z57" s="28">
        <f aca="true" t="shared" si="47" ref="Z57:Z76">$E$35*$E$13*$E$14*$E$16/$E$31*2/3*$E$20/PI()*($E$21*$E$22*LN((U57+$E$22)/($E$30*U57+$E$22))+$E$23*U57*(1-$E$30)+$E$24*U57^2/2*(1-$E$30^2))</f>
        <v>2793.561269987174</v>
      </c>
      <c r="AA57" s="28">
        <f aca="true" t="shared" si="48" ref="AA57:AA76">$E$35*$E$13*$E$14*$E$16/$E$31*2/3*$E$20/PI()*($E$21*$E$22*LN((V57+$E$22)/($E$30*V57+$E$22))+$E$23*V57*(1-$E$30)+$E$24*V57^2/2*(1-$E$30^2))</f>
        <v>2207.6522551693</v>
      </c>
      <c r="AB57" s="28">
        <f aca="true" t="shared" si="49" ref="AB57:AB76">$E$35*$E$13*$E$14*$E$16/$E$31*2/3*$E$20/PI()*($E$21*$E$22*LN((W57+$E$22)/($E$30*W57+$E$22))+$E$23*W57*(1-$E$30)+$E$24*W57^2/2*(1-$E$30^2))</f>
        <v>1988.0043621323443</v>
      </c>
      <c r="AC57" s="28">
        <f aca="true" t="shared" si="50" ref="AC57:AC76">1/18/PI()*$E$20/$E$31*S57*$E$25^2*(3*S57+4*$G$22)/($G$21*$G$22*16*$E$13*$E$14*$E$16*$E$3^2*$E$4^2)</f>
        <v>204.64814611453312</v>
      </c>
      <c r="AD57" s="28">
        <f aca="true" t="shared" si="51" ref="AD57:AD76">1/18/PI()*$E$20/$E$31*T57*$E$25^2*(3*T57+4*$G$22)/($G$21*$G$22*16*$E$13*$E$14*$E$16*$E$3^2*$E$4^2)</f>
        <v>126.62269418013645</v>
      </c>
      <c r="AE57" s="28">
        <f aca="true" t="shared" si="52" ref="AE57:AE76">1/18/PI()*$E$20/$E$31*U57*$E$25^2*(3*U57+4*$G$22)/($G$21*$G$22*16*$E$13*$E$14*$E$16*$E$3^2*$E$4^2)</f>
        <v>69.50114581760862</v>
      </c>
      <c r="AF57" s="28">
        <f aca="true" t="shared" si="53" ref="AF57:AF76">1/18/PI()*$E$20/$E$31*V57*$E$25^2*(3*V57+4*$G$22)/($G$21*$G$22*16*$E$13*$E$14*$E$16*$E$3^2*$E$4^2)</f>
        <v>34.48753448617898</v>
      </c>
      <c r="AG57" s="28">
        <f aca="true" t="shared" si="54" ref="AG57:AG76">1/18/PI()*$E$20/$E$31*W57*$E$25^2*(3*W57+4*$G$22)/($G$21*$G$22*16*$E$13*$E$14*$E$16*$E$3^2*$E$4^2)</f>
        <v>25.858062858282587</v>
      </c>
      <c r="AH57" s="25"/>
      <c r="BX57" s="2"/>
    </row>
    <row r="58" spans="1:76" ht="16.5">
      <c r="A58" s="19">
        <v>18</v>
      </c>
      <c r="B58" s="15">
        <v>-0.7688376834784396</v>
      </c>
      <c r="C58" s="11">
        <v>227.4487999096361</v>
      </c>
      <c r="D58" s="4">
        <v>-0.4725847095030641</v>
      </c>
      <c r="E58" s="31">
        <f t="shared" si="28"/>
        <v>0.9024675568642835</v>
      </c>
      <c r="F58" s="31">
        <f t="shared" si="29"/>
        <v>0.7248057350727689</v>
      </c>
      <c r="G58" s="31">
        <f t="shared" si="30"/>
        <v>214.4226254156362</v>
      </c>
      <c r="H58" s="31">
        <f t="shared" si="31"/>
        <v>0.4455194056121273</v>
      </c>
      <c r="I58" s="31">
        <f t="shared" si="32"/>
        <v>0.8507825188444812</v>
      </c>
      <c r="J58" s="31">
        <f t="shared" si="33"/>
        <v>1.701476509446282</v>
      </c>
      <c r="K58" s="31">
        <f t="shared" si="34"/>
        <v>64.75690008385958</v>
      </c>
      <c r="L58" s="31">
        <f t="shared" si="35"/>
        <v>1420.4124120576184</v>
      </c>
      <c r="M58" s="31">
        <f t="shared" si="36"/>
        <v>2.5393894637468413</v>
      </c>
      <c r="N58" s="31">
        <f t="shared" si="37"/>
        <v>1970.3393894033031</v>
      </c>
      <c r="O58" s="31">
        <f t="shared" si="38"/>
        <v>2935.7966522724587</v>
      </c>
      <c r="P58" s="31">
        <f t="shared" si="39"/>
        <v>6393.844743280986</v>
      </c>
      <c r="Q58" s="4">
        <f aca="true" t="shared" si="55" ref="Q58:Q75">P58*J$31</f>
        <v>0.050440186977423015</v>
      </c>
      <c r="R58" s="25"/>
      <c r="S58" s="28">
        <f t="shared" si="40"/>
        <v>3.243301237142289</v>
      </c>
      <c r="T58" s="28">
        <f t="shared" si="41"/>
        <v>2.4516606594325556</v>
      </c>
      <c r="U58" s="28">
        <f t="shared" si="42"/>
        <v>1.701476509446282</v>
      </c>
      <c r="V58" s="28">
        <f t="shared" si="43"/>
        <v>1.0826587109580716</v>
      </c>
      <c r="W58" s="28">
        <f t="shared" si="44"/>
        <v>0.9176179519042457</v>
      </c>
      <c r="X58" s="28">
        <f t="shared" si="45"/>
        <v>3855.937916897536</v>
      </c>
      <c r="Y58" s="28">
        <f t="shared" si="46"/>
        <v>3367.240331394654</v>
      </c>
      <c r="Z58" s="28">
        <f t="shared" si="47"/>
        <v>2792.9425772295263</v>
      </c>
      <c r="AA58" s="28">
        <f t="shared" si="48"/>
        <v>2193.069174651518</v>
      </c>
      <c r="AB58" s="28">
        <f t="shared" si="49"/>
        <v>2002.0842262634148</v>
      </c>
      <c r="AC58" s="28">
        <f t="shared" si="50"/>
        <v>209.58590307124504</v>
      </c>
      <c r="AD58" s="28">
        <f t="shared" si="51"/>
        <v>128.467409009717</v>
      </c>
      <c r="AE58" s="28">
        <f t="shared" si="52"/>
        <v>69.45280845182394</v>
      </c>
      <c r="AF58" s="28">
        <f t="shared" si="53"/>
        <v>33.850513842905194</v>
      </c>
      <c r="AG58" s="28">
        <f t="shared" si="54"/>
        <v>26.352400549953682</v>
      </c>
      <c r="AH58" s="25"/>
      <c r="BX58" s="2"/>
    </row>
    <row r="59" spans="1:76" ht="16.5">
      <c r="A59" s="19">
        <v>19</v>
      </c>
      <c r="B59" s="15">
        <v>-0.7670354695833996</v>
      </c>
      <c r="C59" s="11">
        <v>231.74178888809186</v>
      </c>
      <c r="D59" s="4">
        <v>-0.5261554631417936</v>
      </c>
      <c r="E59" s="31">
        <f t="shared" si="28"/>
        <v>0.9301521289514859</v>
      </c>
      <c r="F59" s="31">
        <f t="shared" si="29"/>
        <v>0.7231067354073999</v>
      </c>
      <c r="G59" s="31">
        <f t="shared" si="30"/>
        <v>218.46975148535645</v>
      </c>
      <c r="H59" s="31">
        <f t="shared" si="31"/>
        <v>0.4960221193889169</v>
      </c>
      <c r="I59" s="31">
        <f t="shared" si="32"/>
        <v>0.8768815733693008</v>
      </c>
      <c r="J59" s="31">
        <f t="shared" si="33"/>
        <v>1.7536719027567265</v>
      </c>
      <c r="K59" s="31">
        <f t="shared" si="34"/>
        <v>64.45366572366655</v>
      </c>
      <c r="L59" s="31">
        <f t="shared" si="35"/>
        <v>1421.1355747189205</v>
      </c>
      <c r="M59" s="31">
        <f t="shared" si="36"/>
        <v>3.1477349031332693</v>
      </c>
      <c r="N59" s="31">
        <f t="shared" si="37"/>
        <v>2093.0799225869696</v>
      </c>
      <c r="O59" s="31">
        <f t="shared" si="38"/>
        <v>3003.4579994151795</v>
      </c>
      <c r="P59" s="31">
        <f t="shared" si="39"/>
        <v>6585.27489734787</v>
      </c>
      <c r="Q59" s="4">
        <f t="shared" si="55"/>
        <v>0.051950353888247265</v>
      </c>
      <c r="R59" s="25"/>
      <c r="S59" s="28">
        <f t="shared" si="40"/>
        <v>3.2992811452946884</v>
      </c>
      <c r="T59" s="28">
        <f t="shared" si="41"/>
        <v>2.501480060424508</v>
      </c>
      <c r="U59" s="28">
        <f t="shared" si="42"/>
        <v>1.7536719027567265</v>
      </c>
      <c r="V59" s="28">
        <f t="shared" si="43"/>
        <v>1.1572139063924272</v>
      </c>
      <c r="W59" s="28">
        <f t="shared" si="44"/>
        <v>1.0240796553932083</v>
      </c>
      <c r="X59" s="28">
        <f t="shared" si="45"/>
        <v>3886.804140506399</v>
      </c>
      <c r="Y59" s="28">
        <f t="shared" si="46"/>
        <v>3401.131666520602</v>
      </c>
      <c r="Z59" s="28">
        <f t="shared" si="47"/>
        <v>2837.379876264291</v>
      </c>
      <c r="AA59" s="28">
        <f t="shared" si="48"/>
        <v>2274.0714931094144</v>
      </c>
      <c r="AB59" s="28">
        <f t="shared" si="49"/>
        <v>2127.243617649766</v>
      </c>
      <c r="AC59" s="28">
        <f t="shared" si="50"/>
        <v>216.05460772713226</v>
      </c>
      <c r="AD59" s="28">
        <f t="shared" si="51"/>
        <v>133.0018178454712</v>
      </c>
      <c r="AE59" s="28">
        <f t="shared" si="52"/>
        <v>72.9964356392606</v>
      </c>
      <c r="AF59" s="28">
        <f t="shared" si="53"/>
        <v>37.513460318326054</v>
      </c>
      <c r="AG59" s="28">
        <f t="shared" si="54"/>
        <v>31.0928814952335</v>
      </c>
      <c r="AH59" s="25"/>
      <c r="BX59" s="2"/>
    </row>
    <row r="60" spans="1:76" ht="16.5">
      <c r="A60" s="19">
        <v>20</v>
      </c>
      <c r="B60" s="15">
        <v>-0.7645686420397677</v>
      </c>
      <c r="C60" s="11">
        <v>234.49299316708385</v>
      </c>
      <c r="D60" s="4">
        <v>-0.5768430116951416</v>
      </c>
      <c r="E60" s="31">
        <f t="shared" si="28"/>
        <v>0.9577646206307977</v>
      </c>
      <c r="F60" s="31">
        <f t="shared" si="29"/>
        <v>0.7207811850480957</v>
      </c>
      <c r="G60" s="31">
        <f t="shared" si="30"/>
        <v>221.06339209718016</v>
      </c>
      <c r="H60" s="31">
        <f t="shared" si="31"/>
        <v>0.5438067515391389</v>
      </c>
      <c r="I60" s="31">
        <f t="shared" si="32"/>
        <v>0.9029126755887793</v>
      </c>
      <c r="J60" s="31">
        <f t="shared" si="33"/>
        <v>1.8057313985272712</v>
      </c>
      <c r="K60" s="31">
        <f t="shared" si="34"/>
        <v>64.03975942024697</v>
      </c>
      <c r="L60" s="31">
        <f t="shared" si="35"/>
        <v>1417.4316932292093</v>
      </c>
      <c r="M60" s="31">
        <f t="shared" si="36"/>
        <v>3.783426076107715</v>
      </c>
      <c r="N60" s="31">
        <f t="shared" si="37"/>
        <v>2219.1947879384797</v>
      </c>
      <c r="O60" s="31">
        <f t="shared" si="38"/>
        <v>3065.170833314254</v>
      </c>
      <c r="P60" s="31">
        <f t="shared" si="39"/>
        <v>6769.620499978298</v>
      </c>
      <c r="Q60" s="4">
        <f t="shared" si="55"/>
        <v>0.05340463171926839</v>
      </c>
      <c r="R60" s="25"/>
      <c r="S60" s="28">
        <f t="shared" si="40"/>
        <v>3.3439506730650437</v>
      </c>
      <c r="T60" s="28">
        <f t="shared" si="41"/>
        <v>2.5458125369607187</v>
      </c>
      <c r="U60" s="28">
        <f t="shared" si="42"/>
        <v>1.8057313985272712</v>
      </c>
      <c r="V60" s="28">
        <f t="shared" si="43"/>
        <v>1.2330934006533345</v>
      </c>
      <c r="W60" s="28">
        <f t="shared" si="44"/>
        <v>1.122818697149733</v>
      </c>
      <c r="X60" s="28">
        <f t="shared" si="45"/>
        <v>3911.1131871587936</v>
      </c>
      <c r="Y60" s="28">
        <f t="shared" si="46"/>
        <v>3430.904907856597</v>
      </c>
      <c r="Z60" s="28">
        <f t="shared" si="47"/>
        <v>2880.9371470742685</v>
      </c>
      <c r="AA60" s="28">
        <f t="shared" si="48"/>
        <v>2353.6064937056512</v>
      </c>
      <c r="AB60" s="28">
        <f t="shared" si="49"/>
        <v>2237.070823135783</v>
      </c>
      <c r="AC60" s="28">
        <f t="shared" si="50"/>
        <v>221.28575894520154</v>
      </c>
      <c r="AD60" s="28">
        <f t="shared" si="51"/>
        <v>137.10125986441656</v>
      </c>
      <c r="AE60" s="28">
        <f t="shared" si="52"/>
        <v>76.61462326578759</v>
      </c>
      <c r="AF60" s="28">
        <f t="shared" si="53"/>
        <v>41.417688900640904</v>
      </c>
      <c r="AG60" s="28">
        <f t="shared" si="54"/>
        <v>35.8022766641287</v>
      </c>
      <c r="AH60" s="25"/>
      <c r="BX60" s="2"/>
    </row>
    <row r="61" spans="1:76" ht="16.5">
      <c r="A61" s="19">
        <v>21</v>
      </c>
      <c r="B61" s="15">
        <v>-0.7616067160810989</v>
      </c>
      <c r="C61" s="11">
        <v>236.30574107714503</v>
      </c>
      <c r="D61" s="4">
        <v>-0.62632377474028</v>
      </c>
      <c r="E61" s="31">
        <f t="shared" si="28"/>
        <v>0.986066052952209</v>
      </c>
      <c r="F61" s="31">
        <f t="shared" si="29"/>
        <v>0.7179888909555492</v>
      </c>
      <c r="G61" s="31">
        <f t="shared" si="30"/>
        <v>222.77232248611364</v>
      </c>
      <c r="H61" s="31">
        <f t="shared" si="31"/>
        <v>0.5904537117513834</v>
      </c>
      <c r="I61" s="31">
        <f t="shared" si="32"/>
        <v>0.929593262269346</v>
      </c>
      <c r="J61" s="31">
        <f t="shared" si="33"/>
        <v>1.8590897956378352</v>
      </c>
      <c r="K61" s="31">
        <f t="shared" si="34"/>
        <v>63.54454262775765</v>
      </c>
      <c r="L61" s="31">
        <f t="shared" si="35"/>
        <v>1410.7305985557614</v>
      </c>
      <c r="M61" s="31">
        <f t="shared" si="36"/>
        <v>4.46033806253769</v>
      </c>
      <c r="N61" s="31">
        <f t="shared" si="37"/>
        <v>2352.284562523727</v>
      </c>
      <c r="O61" s="31">
        <f t="shared" si="38"/>
        <v>3123.872920359934</v>
      </c>
      <c r="P61" s="31">
        <f t="shared" si="39"/>
        <v>6954.8929621297175</v>
      </c>
      <c r="Q61" s="4">
        <f t="shared" si="55"/>
        <v>0.054866221421224416</v>
      </c>
      <c r="R61" s="25"/>
      <c r="S61" s="28">
        <f t="shared" si="40"/>
        <v>3.3826749188633687</v>
      </c>
      <c r="T61" s="28">
        <f t="shared" si="41"/>
        <v>2.5879894989375916</v>
      </c>
      <c r="U61" s="28">
        <f t="shared" si="42"/>
        <v>1.8590897956378352</v>
      </c>
      <c r="V61" s="28">
        <f t="shared" si="43"/>
        <v>1.3107498890359452</v>
      </c>
      <c r="W61" s="28">
        <f t="shared" si="44"/>
        <v>1.2178837615718054</v>
      </c>
      <c r="X61" s="28">
        <f t="shared" si="45"/>
        <v>3931.95894913765</v>
      </c>
      <c r="Y61" s="28">
        <f t="shared" si="46"/>
        <v>3458.899886950109</v>
      </c>
      <c r="Z61" s="28">
        <f t="shared" si="47"/>
        <v>2924.819031768553</v>
      </c>
      <c r="AA61" s="28">
        <f t="shared" si="48"/>
        <v>2432.2445699233317</v>
      </c>
      <c r="AB61" s="28">
        <f t="shared" si="49"/>
        <v>2337.8857364189876</v>
      </c>
      <c r="AC61" s="28">
        <f t="shared" si="50"/>
        <v>225.87052460570897</v>
      </c>
      <c r="AD61" s="28">
        <f t="shared" si="51"/>
        <v>141.05770771760987</v>
      </c>
      <c r="AE61" s="28">
        <f t="shared" si="52"/>
        <v>80.4099210863149</v>
      </c>
      <c r="AF61" s="28">
        <f t="shared" si="53"/>
        <v>45.597412315913196</v>
      </c>
      <c r="AG61" s="28">
        <f t="shared" si="54"/>
        <v>40.62086187549137</v>
      </c>
      <c r="AH61" s="25"/>
      <c r="BX61" s="2"/>
    </row>
    <row r="62" spans="1:76" ht="16.5">
      <c r="A62" s="19">
        <v>22</v>
      </c>
      <c r="B62" s="15">
        <v>-0.7579205845403099</v>
      </c>
      <c r="C62" s="11">
        <v>237.4021344915991</v>
      </c>
      <c r="D62" s="4">
        <v>-0.6748782498644672</v>
      </c>
      <c r="E62" s="31">
        <f t="shared" si="28"/>
        <v>1.0148419899718633</v>
      </c>
      <c r="F62" s="31">
        <f t="shared" si="29"/>
        <v>0.7145138671131838</v>
      </c>
      <c r="G62" s="31">
        <f t="shared" si="30"/>
        <v>223.8059245737441</v>
      </c>
      <c r="H62" s="31">
        <f t="shared" si="31"/>
        <v>0.6362274332919794</v>
      </c>
      <c r="I62" s="31">
        <f t="shared" si="32"/>
        <v>0.9567211783849758</v>
      </c>
      <c r="J62" s="31">
        <f t="shared" si="33"/>
        <v>1.9133428050716252</v>
      </c>
      <c r="K62" s="31">
        <f t="shared" si="34"/>
        <v>62.930927491146335</v>
      </c>
      <c r="L62" s="31">
        <f t="shared" si="35"/>
        <v>1400.6346495465173</v>
      </c>
      <c r="M62" s="31">
        <f t="shared" si="36"/>
        <v>5.178701095823975</v>
      </c>
      <c r="N62" s="31">
        <f t="shared" si="37"/>
        <v>2491.579215976654</v>
      </c>
      <c r="O62" s="31">
        <f t="shared" si="38"/>
        <v>3180.023222186587</v>
      </c>
      <c r="P62" s="31">
        <f t="shared" si="39"/>
        <v>7140.346716296728</v>
      </c>
      <c r="Q62" s="4">
        <f t="shared" si="55"/>
        <v>0.05632924131167125</v>
      </c>
      <c r="R62" s="25"/>
      <c r="S62" s="28">
        <f t="shared" si="40"/>
        <v>3.4167252421486647</v>
      </c>
      <c r="T62" s="28">
        <f t="shared" si="41"/>
        <v>2.6284581505497924</v>
      </c>
      <c r="U62" s="28">
        <f t="shared" si="42"/>
        <v>1.9133428050716252</v>
      </c>
      <c r="V62" s="28">
        <f t="shared" si="43"/>
        <v>1.3893439825755947</v>
      </c>
      <c r="W62" s="28">
        <f t="shared" si="44"/>
        <v>1.310335943867302</v>
      </c>
      <c r="X62" s="28">
        <f t="shared" si="45"/>
        <v>3950.115431565112</v>
      </c>
      <c r="Y62" s="28">
        <f t="shared" si="46"/>
        <v>3485.462999054028</v>
      </c>
      <c r="Z62" s="28">
        <f t="shared" si="47"/>
        <v>2968.6746311675356</v>
      </c>
      <c r="AA62" s="28">
        <f t="shared" si="48"/>
        <v>2509.234183051544</v>
      </c>
      <c r="AB62" s="28">
        <f t="shared" si="49"/>
        <v>2431.8323557274107</v>
      </c>
      <c r="AC62" s="28">
        <f t="shared" si="50"/>
        <v>229.94017443157136</v>
      </c>
      <c r="AD62" s="28">
        <f t="shared" si="51"/>
        <v>144.905537799968</v>
      </c>
      <c r="AE62" s="28">
        <f t="shared" si="52"/>
        <v>84.35897952542713</v>
      </c>
      <c r="AF62" s="28">
        <f t="shared" si="53"/>
        <v>50.01717976601568</v>
      </c>
      <c r="AG62" s="28">
        <f t="shared" si="54"/>
        <v>45.574638844324106</v>
      </c>
      <c r="AH62" s="25"/>
      <c r="BX62" s="2"/>
    </row>
    <row r="63" spans="1:76" ht="16.5">
      <c r="A63" s="19">
        <v>23</v>
      </c>
      <c r="B63" s="15">
        <v>-0.7536309780371777</v>
      </c>
      <c r="C63" s="11">
        <v>237.89539745988625</v>
      </c>
      <c r="D63" s="4">
        <v>-0.7229495947682708</v>
      </c>
      <c r="E63" s="31">
        <f t="shared" si="28"/>
        <v>1.044325508466053</v>
      </c>
      <c r="F63" s="31">
        <f t="shared" si="29"/>
        <v>0.710469929801723</v>
      </c>
      <c r="G63" s="31">
        <f t="shared" si="30"/>
        <v>224.2709379777386</v>
      </c>
      <c r="H63" s="31">
        <f t="shared" si="31"/>
        <v>0.6815456938659163</v>
      </c>
      <c r="I63" s="31">
        <f t="shared" si="32"/>
        <v>0.984516152218763</v>
      </c>
      <c r="J63" s="31">
        <f t="shared" si="33"/>
        <v>1.968929860530986</v>
      </c>
      <c r="K63" s="31">
        <f t="shared" si="34"/>
        <v>62.22060241022058</v>
      </c>
      <c r="L63" s="31">
        <f t="shared" si="35"/>
        <v>1387.7255775555652</v>
      </c>
      <c r="M63" s="31">
        <f t="shared" si="36"/>
        <v>5.942730268643419</v>
      </c>
      <c r="N63" s="31">
        <f t="shared" si="37"/>
        <v>2638.454536625664</v>
      </c>
      <c r="O63" s="31">
        <f t="shared" si="38"/>
        <v>3234.4275145002102</v>
      </c>
      <c r="P63" s="31">
        <f t="shared" si="39"/>
        <v>7328.770961360304</v>
      </c>
      <c r="Q63" s="4">
        <f t="shared" si="55"/>
        <v>0.05781569500795064</v>
      </c>
      <c r="R63" s="25"/>
      <c r="S63" s="28">
        <f t="shared" si="40"/>
        <v>3.4473972212881936</v>
      </c>
      <c r="T63" s="28">
        <f t="shared" si="41"/>
        <v>2.6681091708091564</v>
      </c>
      <c r="U63" s="28">
        <f t="shared" si="42"/>
        <v>1.968929860530986</v>
      </c>
      <c r="V63" s="28">
        <f t="shared" si="43"/>
        <v>1.4690753371932617</v>
      </c>
      <c r="W63" s="28">
        <f t="shared" si="44"/>
        <v>1.4011777900511788</v>
      </c>
      <c r="X63" s="28">
        <f t="shared" si="45"/>
        <v>3966.3328073472853</v>
      </c>
      <c r="Y63" s="28">
        <f t="shared" si="46"/>
        <v>3511.210855662492</v>
      </c>
      <c r="Z63" s="28">
        <f t="shared" si="47"/>
        <v>3012.8403160930557</v>
      </c>
      <c r="AA63" s="28">
        <f t="shared" si="48"/>
        <v>2584.8843098239035</v>
      </c>
      <c r="AB63" s="28">
        <f t="shared" si="49"/>
        <v>2520.613564528597</v>
      </c>
      <c r="AC63" s="28">
        <f t="shared" si="50"/>
        <v>233.6366950711565</v>
      </c>
      <c r="AD63" s="28">
        <f t="shared" si="51"/>
        <v>148.7246685441683</v>
      </c>
      <c r="AE63" s="28">
        <f t="shared" si="52"/>
        <v>88.4993996692702</v>
      </c>
      <c r="AF63" s="28">
        <f t="shared" si="53"/>
        <v>54.69577768548837</v>
      </c>
      <c r="AG63" s="28">
        <f t="shared" si="54"/>
        <v>50.699178075634514</v>
      </c>
      <c r="AH63" s="25"/>
      <c r="BX63" s="2"/>
    </row>
    <row r="64" spans="1:76" ht="16.5">
      <c r="A64" s="19">
        <v>24</v>
      </c>
      <c r="B64" s="15">
        <v>-0.7488749448917655</v>
      </c>
      <c r="C64" s="11">
        <v>237.88242897712766</v>
      </c>
      <c r="D64" s="4">
        <v>-0.770882918956559</v>
      </c>
      <c r="E64" s="31">
        <f t="shared" si="28"/>
        <v>1.074743763799367</v>
      </c>
      <c r="F64" s="31">
        <f t="shared" si="29"/>
        <v>0.7059862784744431</v>
      </c>
      <c r="G64" s="31">
        <f t="shared" si="30"/>
        <v>224.25871221034893</v>
      </c>
      <c r="H64" s="31">
        <f t="shared" si="31"/>
        <v>0.7267338382809889</v>
      </c>
      <c r="I64" s="31">
        <f t="shared" si="32"/>
        <v>1.0131923297660776</v>
      </c>
      <c r="J64" s="31">
        <f t="shared" si="33"/>
        <v>2.0262792317236795</v>
      </c>
      <c r="K64" s="31">
        <f t="shared" si="34"/>
        <v>61.437753785130866</v>
      </c>
      <c r="L64" s="31">
        <f t="shared" si="35"/>
        <v>1372.6171369464018</v>
      </c>
      <c r="M64" s="31">
        <f t="shared" si="36"/>
        <v>6.756889661653665</v>
      </c>
      <c r="N64" s="31">
        <f t="shared" si="37"/>
        <v>2794.394453391011</v>
      </c>
      <c r="O64" s="31">
        <f t="shared" si="38"/>
        <v>3287.7567606696784</v>
      </c>
      <c r="P64" s="31">
        <f t="shared" si="39"/>
        <v>7522.9629944538765</v>
      </c>
      <c r="Q64" s="4">
        <f t="shared" si="55"/>
        <v>0.059347650013436025</v>
      </c>
      <c r="R64" s="25"/>
      <c r="S64" s="28">
        <f t="shared" si="40"/>
        <v>3.475883163237617</v>
      </c>
      <c r="T64" s="28">
        <f t="shared" si="41"/>
        <v>2.707777510969517</v>
      </c>
      <c r="U64" s="28">
        <f t="shared" si="42"/>
        <v>2.0262792317236795</v>
      </c>
      <c r="V64" s="28">
        <f t="shared" si="43"/>
        <v>1.5501642469383798</v>
      </c>
      <c r="W64" s="28">
        <f t="shared" si="44"/>
        <v>1.4911955108657828</v>
      </c>
      <c r="X64" s="28">
        <f t="shared" si="45"/>
        <v>3981.2782839662427</v>
      </c>
      <c r="Y64" s="28">
        <f t="shared" si="46"/>
        <v>3536.698188102901</v>
      </c>
      <c r="Z64" s="28">
        <f t="shared" si="47"/>
        <v>3057.619909378663</v>
      </c>
      <c r="AA64" s="28">
        <f t="shared" si="48"/>
        <v>2659.4822892114526</v>
      </c>
      <c r="AB64" s="28">
        <f t="shared" si="49"/>
        <v>2605.4603312114414</v>
      </c>
      <c r="AC64" s="28">
        <f t="shared" si="50"/>
        <v>237.09577414575253</v>
      </c>
      <c r="AD64" s="28">
        <f t="shared" si="51"/>
        <v>152.5940413212938</v>
      </c>
      <c r="AE64" s="28">
        <f t="shared" si="52"/>
        <v>92.87107303261092</v>
      </c>
      <c r="AF64" s="28">
        <f t="shared" si="53"/>
        <v>59.65535360370433</v>
      </c>
      <c r="AG64" s="28">
        <f t="shared" si="54"/>
        <v>56.028559374328715</v>
      </c>
      <c r="AH64" s="25"/>
      <c r="BX64" s="2"/>
    </row>
    <row r="65" spans="1:76" ht="16.5">
      <c r="A65" s="19">
        <v>25</v>
      </c>
      <c r="B65" s="15">
        <v>-0.7435059454395301</v>
      </c>
      <c r="C65" s="11">
        <v>237.38808390302393</v>
      </c>
      <c r="D65" s="4">
        <v>-0.8189315282179058</v>
      </c>
      <c r="E65" s="31">
        <f t="shared" si="28"/>
        <v>1.1060967131373476</v>
      </c>
      <c r="F65" s="31">
        <f t="shared" si="29"/>
        <v>0.700924765910469</v>
      </c>
      <c r="G65" s="31">
        <f t="shared" si="30"/>
        <v>223.79267867360255</v>
      </c>
      <c r="H65" s="31">
        <f t="shared" si="31"/>
        <v>0.7720306653008775</v>
      </c>
      <c r="I65" s="31">
        <f t="shared" si="32"/>
        <v>1.0427496706456256</v>
      </c>
      <c r="J65" s="31">
        <f t="shared" si="33"/>
        <v>2.085390837891319</v>
      </c>
      <c r="K65" s="31">
        <f t="shared" si="34"/>
        <v>60.55996552755319</v>
      </c>
      <c r="L65" s="31">
        <f t="shared" si="35"/>
        <v>1354.916743904184</v>
      </c>
      <c r="M65" s="31">
        <f t="shared" si="36"/>
        <v>7.625444497261488</v>
      </c>
      <c r="N65" s="31">
        <f t="shared" si="37"/>
        <v>2959.8114544065525</v>
      </c>
      <c r="O65" s="31">
        <f t="shared" si="38"/>
        <v>3340.2631354390955</v>
      </c>
      <c r="P65" s="31">
        <f t="shared" si="39"/>
        <v>7723.176743774648</v>
      </c>
      <c r="Q65" s="4">
        <f t="shared" si="55"/>
        <v>0.06092710953375093</v>
      </c>
      <c r="R65" s="25"/>
      <c r="S65" s="28">
        <f t="shared" si="40"/>
        <v>3.502378144214675</v>
      </c>
      <c r="T65" s="28">
        <f t="shared" si="41"/>
        <v>2.747578901307354</v>
      </c>
      <c r="U65" s="28">
        <f t="shared" si="42"/>
        <v>2.085390837891319</v>
      </c>
      <c r="V65" s="28">
        <f t="shared" si="43"/>
        <v>1.6326812452612491</v>
      </c>
      <c r="W65" s="28">
        <f t="shared" si="44"/>
        <v>1.581002569419044</v>
      </c>
      <c r="X65" s="28">
        <f t="shared" si="45"/>
        <v>3995.0794858176773</v>
      </c>
      <c r="Y65" s="28">
        <f t="shared" si="46"/>
        <v>3562.001771795051</v>
      </c>
      <c r="Z65" s="28">
        <f t="shared" si="47"/>
        <v>3102.968674359702</v>
      </c>
      <c r="AA65" s="28">
        <f t="shared" si="48"/>
        <v>2733.1472237373205</v>
      </c>
      <c r="AB65" s="28">
        <f t="shared" si="49"/>
        <v>2687.268904523349</v>
      </c>
      <c r="AC65" s="28">
        <f t="shared" si="50"/>
        <v>240.33557684391664</v>
      </c>
      <c r="AD65" s="28">
        <f t="shared" si="51"/>
        <v>156.5252213417575</v>
      </c>
      <c r="AE65" s="28">
        <f t="shared" si="52"/>
        <v>97.4833546773781</v>
      </c>
      <c r="AF65" s="28">
        <f t="shared" si="53"/>
        <v>64.91068587113519</v>
      </c>
      <c r="AG65" s="28">
        <f t="shared" si="54"/>
        <v>61.59477822819131</v>
      </c>
      <c r="AH65" s="25"/>
      <c r="BX65" s="2"/>
    </row>
    <row r="66" spans="1:76" ht="16.5">
      <c r="A66" s="19">
        <v>26</v>
      </c>
      <c r="B66" s="15">
        <v>-0.7379026729240881</v>
      </c>
      <c r="C66" s="11">
        <v>236.44602626135057</v>
      </c>
      <c r="D66" s="4">
        <v>-0.8674766866019769</v>
      </c>
      <c r="E66" s="31">
        <f t="shared" si="28"/>
        <v>1.1388661714646098</v>
      </c>
      <c r="F66" s="31">
        <f t="shared" si="29"/>
        <v>0.6956423972887937</v>
      </c>
      <c r="G66" s="31">
        <f t="shared" si="30"/>
        <v>222.90457342573703</v>
      </c>
      <c r="H66" s="31">
        <f t="shared" si="31"/>
        <v>0.8177956036785076</v>
      </c>
      <c r="I66" s="31">
        <f t="shared" si="32"/>
        <v>1.073642395912901</v>
      </c>
      <c r="J66" s="31">
        <f t="shared" si="33"/>
        <v>2.147173073880884</v>
      </c>
      <c r="K66" s="31">
        <f t="shared" si="34"/>
        <v>59.65061077750069</v>
      </c>
      <c r="L66" s="31">
        <f t="shared" si="35"/>
        <v>1335.9035812842687</v>
      </c>
      <c r="M66" s="31">
        <f t="shared" si="36"/>
        <v>8.556292160660481</v>
      </c>
      <c r="N66" s="31">
        <f t="shared" si="37"/>
        <v>3137.78533537871</v>
      </c>
      <c r="O66" s="31">
        <f t="shared" si="38"/>
        <v>3392.7336470493124</v>
      </c>
      <c r="P66" s="31">
        <f t="shared" si="39"/>
        <v>7934.629466650453</v>
      </c>
      <c r="Q66" s="4">
        <f t="shared" si="55"/>
        <v>0.0625952318149416</v>
      </c>
      <c r="R66" s="25"/>
      <c r="S66" s="28">
        <f t="shared" si="40"/>
        <v>3.5281833231737934</v>
      </c>
      <c r="T66" s="28">
        <f t="shared" si="41"/>
        <v>2.7886662701514453</v>
      </c>
      <c r="U66" s="28">
        <f t="shared" si="42"/>
        <v>2.147173073880884</v>
      </c>
      <c r="V66" s="28">
        <f t="shared" si="43"/>
        <v>1.7173105399658517</v>
      </c>
      <c r="W66" s="28">
        <f t="shared" si="44"/>
        <v>1.6712478603476306</v>
      </c>
      <c r="X66" s="28">
        <f t="shared" si="45"/>
        <v>4008.429548114806</v>
      </c>
      <c r="Y66" s="28">
        <f t="shared" si="46"/>
        <v>3587.8440560050585</v>
      </c>
      <c r="Z66" s="28">
        <f t="shared" si="47"/>
        <v>3149.520899026179</v>
      </c>
      <c r="AA66" s="28">
        <f t="shared" si="48"/>
        <v>2806.5060076128725</v>
      </c>
      <c r="AB66" s="28">
        <f t="shared" si="49"/>
        <v>2766.8438943189312</v>
      </c>
      <c r="AC66" s="28">
        <f t="shared" si="50"/>
        <v>243.51186541769243</v>
      </c>
      <c r="AD66" s="28">
        <f t="shared" si="51"/>
        <v>160.6347242071565</v>
      </c>
      <c r="AE66" s="28">
        <f t="shared" si="52"/>
        <v>102.41932128215686</v>
      </c>
      <c r="AF66" s="28">
        <f t="shared" si="53"/>
        <v>70.518917507421</v>
      </c>
      <c r="AG66" s="28">
        <f t="shared" si="54"/>
        <v>67.43900175428531</v>
      </c>
      <c r="AH66" s="25"/>
      <c r="BX66" s="2"/>
    </row>
    <row r="67" spans="1:76" ht="16.5">
      <c r="A67" s="19">
        <v>27</v>
      </c>
      <c r="B67" s="15">
        <v>-0.7316515309435765</v>
      </c>
      <c r="C67" s="11">
        <v>235.02302523518713</v>
      </c>
      <c r="D67" s="4">
        <v>-0.9167679179694548</v>
      </c>
      <c r="E67" s="31">
        <f t="shared" si="28"/>
        <v>1.17293536827488</v>
      </c>
      <c r="F67" s="31">
        <f t="shared" si="29"/>
        <v>0.6897492632039373</v>
      </c>
      <c r="G67" s="31">
        <f t="shared" si="30"/>
        <v>221.56306880526716</v>
      </c>
      <c r="H67" s="31">
        <f t="shared" si="31"/>
        <v>0.8642638868437</v>
      </c>
      <c r="I67" s="31">
        <f t="shared" si="32"/>
        <v>1.1057604226018192</v>
      </c>
      <c r="J67" s="31">
        <f t="shared" si="33"/>
        <v>2.2114057852148985</v>
      </c>
      <c r="K67" s="31">
        <f t="shared" si="34"/>
        <v>58.64423146572011</v>
      </c>
      <c r="L67" s="31">
        <f t="shared" si="35"/>
        <v>1314.2724609373597</v>
      </c>
      <c r="M67" s="31">
        <f t="shared" si="36"/>
        <v>9.556278440242355</v>
      </c>
      <c r="N67" s="31">
        <f t="shared" si="37"/>
        <v>3328.3271455406484</v>
      </c>
      <c r="O67" s="31">
        <f t="shared" si="38"/>
        <v>3445.1614138005107</v>
      </c>
      <c r="P67" s="31">
        <f t="shared" si="39"/>
        <v>8155.9615301844815</v>
      </c>
      <c r="Q67" s="4">
        <f t="shared" si="55"/>
        <v>0.06434129089472877</v>
      </c>
      <c r="R67" s="25"/>
      <c r="S67" s="28">
        <f t="shared" si="40"/>
        <v>3.5527755003602532</v>
      </c>
      <c r="T67" s="28">
        <f t="shared" si="41"/>
        <v>2.830678411396303</v>
      </c>
      <c r="U67" s="28">
        <f t="shared" si="42"/>
        <v>2.2114057852148985</v>
      </c>
      <c r="V67" s="28">
        <f t="shared" si="43"/>
        <v>1.804145113445846</v>
      </c>
      <c r="W67" s="28">
        <f t="shared" si="44"/>
        <v>1.762558481075423</v>
      </c>
      <c r="X67" s="28">
        <f t="shared" si="45"/>
        <v>4021.0682162432495</v>
      </c>
      <c r="Y67" s="28">
        <f t="shared" si="46"/>
        <v>3613.9792079789518</v>
      </c>
      <c r="Z67" s="28">
        <f t="shared" si="47"/>
        <v>3197.034499191485</v>
      </c>
      <c r="AA67" s="28">
        <f t="shared" si="48"/>
        <v>2879.6209213564302</v>
      </c>
      <c r="AB67" s="28">
        <f t="shared" si="49"/>
        <v>2844.8683276906777</v>
      </c>
      <c r="AC67" s="28">
        <f t="shared" si="50"/>
        <v>246.55798196035744</v>
      </c>
      <c r="AD67" s="28">
        <f t="shared" si="51"/>
        <v>164.89061701091575</v>
      </c>
      <c r="AE67" s="28">
        <f t="shared" si="52"/>
        <v>107.67601967668965</v>
      </c>
      <c r="AF67" s="28">
        <f t="shared" si="53"/>
        <v>76.5031388403627</v>
      </c>
      <c r="AG67" s="28">
        <f t="shared" si="54"/>
        <v>73.60813905343478</v>
      </c>
      <c r="AH67" s="25"/>
      <c r="BX67" s="2"/>
    </row>
    <row r="68" spans="1:76" ht="16.5">
      <c r="A68" s="19">
        <v>28</v>
      </c>
      <c r="B68" s="15">
        <v>-0.725054795017682</v>
      </c>
      <c r="C68" s="11">
        <v>233.10995497958777</v>
      </c>
      <c r="D68" s="4">
        <v>-0.9671283960386144</v>
      </c>
      <c r="E68" s="31">
        <f t="shared" si="28"/>
        <v>1.208735616337318</v>
      </c>
      <c r="F68" s="31">
        <f t="shared" si="29"/>
        <v>0.6835303276150667</v>
      </c>
      <c r="G68" s="31">
        <f t="shared" si="30"/>
        <v>219.7595616116783</v>
      </c>
      <c r="H68" s="31">
        <f t="shared" si="31"/>
        <v>0.9117401800976802</v>
      </c>
      <c r="I68" s="31">
        <f t="shared" si="32"/>
        <v>1.139510361854648</v>
      </c>
      <c r="J68" s="31">
        <f t="shared" si="33"/>
        <v>2.278902151867942</v>
      </c>
      <c r="K68" s="31">
        <f t="shared" si="34"/>
        <v>57.59149944430501</v>
      </c>
      <c r="L68" s="31">
        <f t="shared" si="35"/>
        <v>1290.9994897489175</v>
      </c>
      <c r="M68" s="31">
        <f t="shared" si="36"/>
        <v>10.635018537797977</v>
      </c>
      <c r="N68" s="31">
        <f t="shared" si="37"/>
        <v>3534.6016937990116</v>
      </c>
      <c r="O68" s="31">
        <f t="shared" si="38"/>
        <v>3498.149798628022</v>
      </c>
      <c r="P68" s="31">
        <f t="shared" si="39"/>
        <v>8391.977500158053</v>
      </c>
      <c r="Q68" s="4">
        <f t="shared" si="55"/>
        <v>0.06620318935068283</v>
      </c>
      <c r="R68" s="25"/>
      <c r="S68" s="28">
        <f t="shared" si="40"/>
        <v>3.5771211938995147</v>
      </c>
      <c r="T68" s="28">
        <f t="shared" si="41"/>
        <v>2.8745654189301804</v>
      </c>
      <c r="U68" s="28">
        <f t="shared" si="42"/>
        <v>2.278902151867942</v>
      </c>
      <c r="V68" s="28">
        <f t="shared" si="43"/>
        <v>1.8938326341264597</v>
      </c>
      <c r="W68" s="28">
        <f t="shared" si="44"/>
        <v>1.8554642094611602</v>
      </c>
      <c r="X68" s="28">
        <f t="shared" si="45"/>
        <v>4033.500018369689</v>
      </c>
      <c r="Y68" s="28">
        <f t="shared" si="46"/>
        <v>3640.9732948430387</v>
      </c>
      <c r="Z68" s="28">
        <f t="shared" si="47"/>
        <v>3246.022954686209</v>
      </c>
      <c r="AA68" s="28">
        <f t="shared" si="48"/>
        <v>2952.990228882618</v>
      </c>
      <c r="AB68" s="28">
        <f t="shared" si="49"/>
        <v>2921.8612007893307</v>
      </c>
      <c r="AC68" s="28">
        <f t="shared" si="50"/>
        <v>249.59196046699745</v>
      </c>
      <c r="AD68" s="28">
        <f t="shared" si="51"/>
        <v>169.39463399442465</v>
      </c>
      <c r="AE68" s="28">
        <f t="shared" si="52"/>
        <v>113.33706923372827</v>
      </c>
      <c r="AF68" s="28">
        <f t="shared" si="53"/>
        <v>82.9283765162986</v>
      </c>
      <c r="AG68" s="28">
        <f t="shared" si="54"/>
        <v>80.14925535777654</v>
      </c>
      <c r="AH68" s="25"/>
      <c r="BX68" s="2"/>
    </row>
    <row r="69" spans="1:76" ht="16.5">
      <c r="A69" s="19">
        <v>29</v>
      </c>
      <c r="B69" s="15">
        <v>-0.7179155992224899</v>
      </c>
      <c r="C69" s="11">
        <v>230.61392478009316</v>
      </c>
      <c r="D69" s="4">
        <v>-1.0189111298928748</v>
      </c>
      <c r="E69" s="31">
        <f t="shared" si="28"/>
        <v>1.246427975547148</v>
      </c>
      <c r="F69" s="31">
        <f t="shared" si="29"/>
        <v>0.6767999992670185</v>
      </c>
      <c r="G69" s="31">
        <f t="shared" si="30"/>
        <v>217.4064810559445</v>
      </c>
      <c r="H69" s="31">
        <f t="shared" si="31"/>
        <v>0.9605572754116188</v>
      </c>
      <c r="I69" s="31">
        <f t="shared" si="32"/>
        <v>1.1750440495377306</v>
      </c>
      <c r="J69" s="31">
        <f t="shared" si="33"/>
        <v>2.3499658297734087</v>
      </c>
      <c r="K69" s="31">
        <f t="shared" si="34"/>
        <v>56.462942593772276</v>
      </c>
      <c r="L69" s="31">
        <f t="shared" si="35"/>
        <v>1265.392626998536</v>
      </c>
      <c r="M69" s="31">
        <f t="shared" si="36"/>
        <v>11.804364025632461</v>
      </c>
      <c r="N69" s="31">
        <f t="shared" si="37"/>
        <v>3758.4797871167616</v>
      </c>
      <c r="O69" s="31">
        <f t="shared" si="38"/>
        <v>3551.9071623258387</v>
      </c>
      <c r="P69" s="31">
        <f t="shared" si="39"/>
        <v>8644.04688306054</v>
      </c>
      <c r="Q69" s="4">
        <f t="shared" si="55"/>
        <v>0.06819173103653564</v>
      </c>
      <c r="R69" s="25"/>
      <c r="S69" s="28">
        <f t="shared" si="40"/>
        <v>3.6009429479135324</v>
      </c>
      <c r="T69" s="28">
        <f t="shared" si="41"/>
        <v>2.9203897275683364</v>
      </c>
      <c r="U69" s="28">
        <f t="shared" si="42"/>
        <v>2.3499658297734087</v>
      </c>
      <c r="V69" s="28">
        <f t="shared" si="43"/>
        <v>1.9869020697498143</v>
      </c>
      <c r="W69" s="28">
        <f t="shared" si="44"/>
        <v>1.9506402697337795</v>
      </c>
      <c r="X69" s="28">
        <f t="shared" si="45"/>
        <v>4045.5874379342044</v>
      </c>
      <c r="Y69" s="28">
        <f t="shared" si="46"/>
        <v>3668.8285748734143</v>
      </c>
      <c r="Z69" s="28">
        <f t="shared" si="47"/>
        <v>3296.595358929836</v>
      </c>
      <c r="AA69" s="28">
        <f t="shared" si="48"/>
        <v>3026.957994247063</v>
      </c>
      <c r="AB69" s="28">
        <f t="shared" si="49"/>
        <v>2998.392791708897</v>
      </c>
      <c r="AC69" s="28">
        <f t="shared" si="50"/>
        <v>252.57835881522692</v>
      </c>
      <c r="AD69" s="28">
        <f t="shared" si="51"/>
        <v>174.16093469480214</v>
      </c>
      <c r="AE69" s="28">
        <f t="shared" si="52"/>
        <v>119.44932336629171</v>
      </c>
      <c r="AF69" s="28">
        <f t="shared" si="53"/>
        <v>89.85847440772726</v>
      </c>
      <c r="AG69" s="28">
        <f t="shared" si="54"/>
        <v>87.12656265172967</v>
      </c>
      <c r="AH69" s="25"/>
      <c r="BX69" s="2"/>
    </row>
    <row r="70" spans="1:76" ht="16.5">
      <c r="A70" s="19">
        <v>30</v>
      </c>
      <c r="B70" s="15">
        <v>-0.7102502150156997</v>
      </c>
      <c r="C70" s="11">
        <v>227.50587821073148</v>
      </c>
      <c r="D70" s="4">
        <v>-1.072381236051545</v>
      </c>
      <c r="E70" s="31">
        <f t="shared" si="28"/>
        <v>1.2862569274314084</v>
      </c>
      <c r="F70" s="31">
        <f t="shared" si="29"/>
        <v>0.6695736177381095</v>
      </c>
      <c r="G70" s="31">
        <f t="shared" si="30"/>
        <v>214.47643479682438</v>
      </c>
      <c r="H70" s="31">
        <f t="shared" si="31"/>
        <v>1.0109651058699456</v>
      </c>
      <c r="I70" s="31">
        <f t="shared" si="32"/>
        <v>1.2125919655257207</v>
      </c>
      <c r="J70" s="31">
        <f t="shared" si="33"/>
        <v>2.425057754698004</v>
      </c>
      <c r="K70" s="31">
        <f t="shared" si="34"/>
        <v>55.26363857579643</v>
      </c>
      <c r="L70" s="31">
        <f t="shared" si="35"/>
        <v>1237.5347717553511</v>
      </c>
      <c r="M70" s="31">
        <f t="shared" si="36"/>
        <v>13.075803760875655</v>
      </c>
      <c r="N70" s="31">
        <f t="shared" si="37"/>
        <v>4002.5180261616233</v>
      </c>
      <c r="O70" s="31">
        <f t="shared" si="38"/>
        <v>3606.768434449545</v>
      </c>
      <c r="P70" s="31">
        <f t="shared" si="39"/>
        <v>8915.160674703191</v>
      </c>
      <c r="Q70" s="4">
        <f t="shared" si="55"/>
        <v>0.07033051151865227</v>
      </c>
      <c r="R70" s="25"/>
      <c r="S70" s="28">
        <f t="shared" si="40"/>
        <v>3.6247344533956594</v>
      </c>
      <c r="T70" s="28">
        <f t="shared" si="41"/>
        <v>2.968683261597104</v>
      </c>
      <c r="U70" s="28">
        <f t="shared" si="42"/>
        <v>2.425057754698004</v>
      </c>
      <c r="V70" s="28">
        <f t="shared" si="43"/>
        <v>2.0837884430613016</v>
      </c>
      <c r="W70" s="28">
        <f t="shared" si="44"/>
        <v>2.0486307117515294</v>
      </c>
      <c r="X70" s="28">
        <f t="shared" si="45"/>
        <v>4057.5840228158213</v>
      </c>
      <c r="Y70" s="28">
        <f t="shared" si="46"/>
        <v>3697.8248309837495</v>
      </c>
      <c r="Z70" s="28">
        <f t="shared" si="47"/>
        <v>3348.951823294454</v>
      </c>
      <c r="AA70" s="28">
        <f t="shared" si="48"/>
        <v>3101.7499185635675</v>
      </c>
      <c r="AB70" s="28">
        <f t="shared" si="49"/>
        <v>3074.8621074902285</v>
      </c>
      <c r="AC70" s="28">
        <f t="shared" si="50"/>
        <v>255.57845261650255</v>
      </c>
      <c r="AD70" s="28">
        <f t="shared" si="51"/>
        <v>179.2542338097726</v>
      </c>
      <c r="AE70" s="28">
        <f t="shared" si="52"/>
        <v>126.07747977341988</v>
      </c>
      <c r="AF70" s="28">
        <f t="shared" si="53"/>
        <v>97.3569025387166</v>
      </c>
      <c r="AG70" s="28">
        <f t="shared" si="54"/>
        <v>94.60240036149627</v>
      </c>
      <c r="AH70" s="25"/>
      <c r="BX70" s="2"/>
    </row>
    <row r="71" spans="1:76" ht="16.5">
      <c r="A71" s="19">
        <v>31</v>
      </c>
      <c r="B71" s="15">
        <v>-0.7022009474414048</v>
      </c>
      <c r="C71" s="11">
        <v>223.56423801738163</v>
      </c>
      <c r="D71" s="4">
        <v>-1.1280864983109464</v>
      </c>
      <c r="E71" s="31">
        <f t="shared" si="28"/>
        <v>1.3287833977962924</v>
      </c>
      <c r="F71" s="31">
        <f t="shared" si="29"/>
        <v>0.6619853381488614</v>
      </c>
      <c r="G71" s="31">
        <f t="shared" si="30"/>
        <v>210.76053548657234</v>
      </c>
      <c r="H71" s="31">
        <f t="shared" si="31"/>
        <v>1.063480083253308</v>
      </c>
      <c r="I71" s="31">
        <f t="shared" si="32"/>
        <v>1.2526829109557316</v>
      </c>
      <c r="J71" s="31">
        <f t="shared" si="33"/>
        <v>2.5052354738915095</v>
      </c>
      <c r="K71" s="31">
        <f t="shared" si="34"/>
        <v>54.018130543248546</v>
      </c>
      <c r="L71" s="31">
        <f t="shared" si="35"/>
        <v>1207.6067399309745</v>
      </c>
      <c r="M71" s="31">
        <f t="shared" si="36"/>
        <v>14.46954198041532</v>
      </c>
      <c r="N71" s="31">
        <f t="shared" si="37"/>
        <v>4271.557231594498</v>
      </c>
      <c r="O71" s="31">
        <f t="shared" si="38"/>
        <v>3663.251370002593</v>
      </c>
      <c r="P71" s="31">
        <f t="shared" si="39"/>
        <v>9210.90301405173</v>
      </c>
      <c r="Q71" s="4">
        <f t="shared" si="55"/>
        <v>0.07266358332330576</v>
      </c>
      <c r="R71" s="25"/>
      <c r="S71" s="28">
        <f t="shared" si="40"/>
        <v>3.648426584489703</v>
      </c>
      <c r="T71" s="28">
        <f t="shared" si="41"/>
        <v>3.020069765499479</v>
      </c>
      <c r="U71" s="28">
        <f t="shared" si="42"/>
        <v>2.5052354738915095</v>
      </c>
      <c r="V71" s="28">
        <f t="shared" si="43"/>
        <v>2.1856730578684958</v>
      </c>
      <c r="W71" s="28">
        <f t="shared" si="44"/>
        <v>2.150280725214149</v>
      </c>
      <c r="X71" s="28">
        <f t="shared" si="45"/>
        <v>4069.4558932037135</v>
      </c>
      <c r="Y71" s="28">
        <f t="shared" si="46"/>
        <v>3728.278500638536</v>
      </c>
      <c r="Z71" s="28">
        <f t="shared" si="47"/>
        <v>3403.667729726962</v>
      </c>
      <c r="AA71" s="28">
        <f t="shared" si="48"/>
        <v>3178.1061042326755</v>
      </c>
      <c r="AB71" s="28">
        <f t="shared" si="49"/>
        <v>3151.840185196669</v>
      </c>
      <c r="AC71" s="28">
        <f t="shared" si="50"/>
        <v>258.58338245750286</v>
      </c>
      <c r="AD71" s="28">
        <f t="shared" si="51"/>
        <v>184.75280881754892</v>
      </c>
      <c r="AE71" s="28">
        <f t="shared" si="52"/>
        <v>133.34673001327238</v>
      </c>
      <c r="AF71" s="28">
        <f t="shared" si="53"/>
        <v>105.55480187015192</v>
      </c>
      <c r="AG71" s="28">
        <f t="shared" si="54"/>
        <v>102.67071385592803</v>
      </c>
      <c r="AH71" s="25"/>
      <c r="BX71" s="2"/>
    </row>
    <row r="72" spans="1:76" ht="16.5">
      <c r="A72" s="19">
        <v>32</v>
      </c>
      <c r="B72" s="15">
        <v>-0.6934456903989243</v>
      </c>
      <c r="C72" s="11">
        <v>218.6426703280376</v>
      </c>
      <c r="D72" s="4">
        <v>-1.1866289424589562</v>
      </c>
      <c r="E72" s="31">
        <f t="shared" si="28"/>
        <v>1.374392655908093</v>
      </c>
      <c r="F72" s="31">
        <f t="shared" si="29"/>
        <v>0.6537315016723302</v>
      </c>
      <c r="G72" s="31">
        <f t="shared" si="30"/>
        <v>206.12082991094752</v>
      </c>
      <c r="H72" s="31">
        <f t="shared" si="31"/>
        <v>1.1186697548517144</v>
      </c>
      <c r="I72" s="31">
        <f t="shared" si="32"/>
        <v>1.2956800904153598</v>
      </c>
      <c r="J72" s="31">
        <f t="shared" si="33"/>
        <v>2.5912253587358367</v>
      </c>
      <c r="K72" s="31">
        <f t="shared" si="34"/>
        <v>52.67949885191214</v>
      </c>
      <c r="L72" s="31">
        <f t="shared" si="35"/>
        <v>1174.5566714818585</v>
      </c>
      <c r="M72" s="31">
        <f t="shared" si="36"/>
        <v>16.010314203680363</v>
      </c>
      <c r="N72" s="31">
        <f t="shared" si="37"/>
        <v>4569.82421543704</v>
      </c>
      <c r="O72" s="31">
        <f t="shared" si="38"/>
        <v>3721.7949349245937</v>
      </c>
      <c r="P72" s="31">
        <f t="shared" si="39"/>
        <v>9534.865634899084</v>
      </c>
      <c r="Q72" s="4">
        <f t="shared" si="55"/>
        <v>0.07521928115854148</v>
      </c>
      <c r="R72" s="25"/>
      <c r="S72" s="28">
        <f t="shared" si="40"/>
        <v>3.671987266814359</v>
      </c>
      <c r="T72" s="28">
        <f t="shared" si="41"/>
        <v>3.0749757831892093</v>
      </c>
      <c r="U72" s="28">
        <f t="shared" si="42"/>
        <v>2.5912253587358367</v>
      </c>
      <c r="V72" s="28">
        <f t="shared" si="43"/>
        <v>2.293558123378065</v>
      </c>
      <c r="W72" s="28">
        <f t="shared" si="44"/>
        <v>2.256846490985514</v>
      </c>
      <c r="X72" s="28">
        <f t="shared" si="45"/>
        <v>4081.1884129431537</v>
      </c>
      <c r="Y72" s="28">
        <f t="shared" si="46"/>
        <v>3760.36956895559</v>
      </c>
      <c r="Z72" s="28">
        <f t="shared" si="47"/>
        <v>3461.034534233961</v>
      </c>
      <c r="AA72" s="28">
        <f t="shared" si="48"/>
        <v>3256.536120465566</v>
      </c>
      <c r="AB72" s="28">
        <f t="shared" si="49"/>
        <v>3230.1189823208365</v>
      </c>
      <c r="AC72" s="28">
        <f t="shared" si="50"/>
        <v>261.5888271118311</v>
      </c>
      <c r="AD72" s="28">
        <f t="shared" si="51"/>
        <v>190.71808198314747</v>
      </c>
      <c r="AE72" s="28">
        <f t="shared" si="52"/>
        <v>141.36351899968201</v>
      </c>
      <c r="AF72" s="28">
        <f t="shared" si="53"/>
        <v>114.58488081372862</v>
      </c>
      <c r="AG72" s="28">
        <f t="shared" si="54"/>
        <v>111.47174679547106</v>
      </c>
      <c r="AH72" s="25"/>
      <c r="BX72" s="2"/>
    </row>
    <row r="73" spans="1:76" ht="16.5">
      <c r="A73" s="19">
        <v>33</v>
      </c>
      <c r="B73" s="15">
        <v>-0.68417335829729</v>
      </c>
      <c r="C73" s="11">
        <v>212.54789818753315</v>
      </c>
      <c r="D73" s="4">
        <v>-1.2484668110260242</v>
      </c>
      <c r="E73" s="31">
        <f t="shared" si="28"/>
        <v>1.4236441136875755</v>
      </c>
      <c r="F73" s="31">
        <f t="shared" si="29"/>
        <v>0.6449902034384066</v>
      </c>
      <c r="G73" s="31">
        <f t="shared" si="30"/>
        <v>200.3751102404272</v>
      </c>
      <c r="H73" s="31">
        <f t="shared" si="31"/>
        <v>1.1769661192797778</v>
      </c>
      <c r="I73" s="31">
        <f t="shared" si="32"/>
        <v>1.342110877857719</v>
      </c>
      <c r="J73" s="31">
        <f t="shared" si="33"/>
        <v>2.684082102261274</v>
      </c>
      <c r="K73" s="31">
        <f t="shared" si="34"/>
        <v>51.28012148585061</v>
      </c>
      <c r="L73" s="31">
        <f t="shared" si="35"/>
        <v>1138.831146283495</v>
      </c>
      <c r="M73" s="31">
        <f t="shared" si="36"/>
        <v>17.72245918315172</v>
      </c>
      <c r="N73" s="31">
        <f t="shared" si="37"/>
        <v>4903.212511893346</v>
      </c>
      <c r="O73" s="31">
        <f t="shared" si="38"/>
        <v>3782.934193342707</v>
      </c>
      <c r="P73" s="31">
        <f t="shared" si="39"/>
        <v>9893.980432188551</v>
      </c>
      <c r="Q73" s="4">
        <f t="shared" si="55"/>
        <v>0.07805228981748259</v>
      </c>
      <c r="R73" s="25"/>
      <c r="S73" s="28">
        <f t="shared" si="40"/>
        <v>3.695993376953895</v>
      </c>
      <c r="T73" s="28">
        <f t="shared" si="41"/>
        <v>3.134360167700161</v>
      </c>
      <c r="U73" s="28">
        <f t="shared" si="42"/>
        <v>2.684082102261274</v>
      </c>
      <c r="V73" s="28">
        <f t="shared" si="43"/>
        <v>2.408446855325817</v>
      </c>
      <c r="W73" s="28">
        <f t="shared" si="44"/>
        <v>2.369213420233374</v>
      </c>
      <c r="X73" s="28">
        <f t="shared" si="45"/>
        <v>4093.067724447787</v>
      </c>
      <c r="Y73" s="28">
        <f t="shared" si="46"/>
        <v>3794.56488951679</v>
      </c>
      <c r="Z73" s="28">
        <f t="shared" si="47"/>
        <v>3521.5061005739794</v>
      </c>
      <c r="AA73" s="28">
        <f t="shared" si="48"/>
        <v>3337.464097783955</v>
      </c>
      <c r="AB73" s="28">
        <f t="shared" si="49"/>
        <v>3310.119929472535</v>
      </c>
      <c r="AC73" s="28">
        <f t="shared" si="50"/>
        <v>264.66871943151676</v>
      </c>
      <c r="AD73" s="28">
        <f t="shared" si="51"/>
        <v>197.27468381690923</v>
      </c>
      <c r="AE73" s="28">
        <f t="shared" si="52"/>
        <v>150.27687486614718</v>
      </c>
      <c r="AF73" s="28">
        <f t="shared" si="53"/>
        <v>124.59628525415174</v>
      </c>
      <c r="AG73" s="28">
        <f t="shared" si="54"/>
        <v>121.13166154976336</v>
      </c>
      <c r="AH73" s="25"/>
      <c r="BX73" s="2"/>
    </row>
    <row r="74" spans="1:76" ht="16.5">
      <c r="A74" s="19">
        <v>34</v>
      </c>
      <c r="B74" s="15">
        <v>-0.6739838818223287</v>
      </c>
      <c r="C74" s="11">
        <v>204.83970364331694</v>
      </c>
      <c r="D74" s="4">
        <v>-1.3146950729765248</v>
      </c>
      <c r="E74" s="31">
        <f t="shared" si="28"/>
        <v>1.4773887125144298</v>
      </c>
      <c r="F74" s="31">
        <f t="shared" si="29"/>
        <v>0.6353842864221811</v>
      </c>
      <c r="G74" s="31">
        <f t="shared" si="30"/>
        <v>193.10837015632046</v>
      </c>
      <c r="H74" s="31">
        <f t="shared" si="31"/>
        <v>1.2394014357544423</v>
      </c>
      <c r="I74" s="31">
        <f t="shared" si="32"/>
        <v>1.3927774805698134</v>
      </c>
      <c r="J74" s="31">
        <f t="shared" si="33"/>
        <v>2.7854100355680873</v>
      </c>
      <c r="K74" s="31">
        <f t="shared" si="34"/>
        <v>49.764053587509686</v>
      </c>
      <c r="L74" s="31">
        <f t="shared" si="35"/>
        <v>1098.8933878710002</v>
      </c>
      <c r="M74" s="31">
        <f t="shared" si="36"/>
        <v>19.65260169180456</v>
      </c>
      <c r="N74" s="31">
        <f t="shared" si="37"/>
        <v>5280.406977125616</v>
      </c>
      <c r="O74" s="31">
        <f t="shared" si="38"/>
        <v>3847.436119509016</v>
      </c>
      <c r="P74" s="31">
        <f t="shared" si="39"/>
        <v>10296.153139784947</v>
      </c>
      <c r="Q74" s="4">
        <f t="shared" si="55"/>
        <v>0.08122497657840151</v>
      </c>
      <c r="R74" s="25"/>
      <c r="S74" s="28">
        <f t="shared" si="40"/>
        <v>3.7199030552218133</v>
      </c>
      <c r="T74" s="28">
        <f t="shared" si="41"/>
        <v>3.1989503786195264</v>
      </c>
      <c r="U74" s="28">
        <f t="shared" si="42"/>
        <v>2.7854100355680873</v>
      </c>
      <c r="V74" s="28">
        <f t="shared" si="43"/>
        <v>2.5324603381630237</v>
      </c>
      <c r="W74" s="28">
        <f t="shared" si="44"/>
        <v>2.4895426124583833</v>
      </c>
      <c r="X74" s="28">
        <f t="shared" si="45"/>
        <v>4104.8243996239025</v>
      </c>
      <c r="Y74" s="28">
        <f t="shared" si="46"/>
        <v>3831.1623049801337</v>
      </c>
      <c r="Z74" s="28">
        <f t="shared" si="47"/>
        <v>3585.806259215913</v>
      </c>
      <c r="AA74" s="28">
        <f t="shared" si="48"/>
        <v>3421.975474964674</v>
      </c>
      <c r="AB74" s="28">
        <f t="shared" si="49"/>
        <v>3393.0529011959566</v>
      </c>
      <c r="AC74" s="28">
        <f t="shared" si="50"/>
        <v>267.75392597671754</v>
      </c>
      <c r="AD74" s="28">
        <f t="shared" si="51"/>
        <v>204.52967550999313</v>
      </c>
      <c r="AE74" s="28">
        <f t="shared" si="52"/>
        <v>160.30713833525897</v>
      </c>
      <c r="AF74" s="28">
        <f t="shared" si="53"/>
        <v>135.86019082173928</v>
      </c>
      <c r="AG74" s="28">
        <f t="shared" si="54"/>
        <v>131.9083269207956</v>
      </c>
      <c r="AH74" s="25"/>
      <c r="BX74" s="2"/>
    </row>
    <row r="75" spans="1:76" ht="16.5">
      <c r="A75" s="19">
        <v>35</v>
      </c>
      <c r="B75" s="15">
        <v>-0.6632441842624921</v>
      </c>
      <c r="C75" s="11">
        <v>195.01696203664585</v>
      </c>
      <c r="D75" s="4">
        <v>-1.3862719757944502</v>
      </c>
      <c r="E75" s="31">
        <f t="shared" si="28"/>
        <v>1.536763755048598</v>
      </c>
      <c r="F75" s="31">
        <f t="shared" si="29"/>
        <v>0.6252596599222173</v>
      </c>
      <c r="G75" s="31">
        <f t="shared" si="30"/>
        <v>183.8481848094705</v>
      </c>
      <c r="H75" s="31">
        <f t="shared" si="31"/>
        <v>1.3068790721606882</v>
      </c>
      <c r="I75" s="31">
        <f t="shared" si="32"/>
        <v>1.4487520669795877</v>
      </c>
      <c r="J75" s="31">
        <f t="shared" si="33"/>
        <v>2.897353383947594</v>
      </c>
      <c r="K75" s="31">
        <f t="shared" si="34"/>
        <v>48.19074373495496</v>
      </c>
      <c r="L75" s="31">
        <f t="shared" si="35"/>
        <v>1055.4857478601057</v>
      </c>
      <c r="M75" s="31">
        <f t="shared" si="36"/>
        <v>21.850776212765144</v>
      </c>
      <c r="N75" s="31">
        <f t="shared" si="37"/>
        <v>5713.366198186885</v>
      </c>
      <c r="O75" s="31">
        <f t="shared" si="38"/>
        <v>3916.3456267382885</v>
      </c>
      <c r="P75" s="31">
        <f t="shared" si="39"/>
        <v>10755.239092733</v>
      </c>
      <c r="Q75" s="4">
        <f t="shared" si="55"/>
        <v>0.0848466443284266</v>
      </c>
      <c r="R75" s="25"/>
      <c r="S75" s="28">
        <f t="shared" si="40"/>
        <v>3.7444915180031226</v>
      </c>
      <c r="T75" s="28">
        <f t="shared" si="41"/>
        <v>3.2704734461694813</v>
      </c>
      <c r="U75" s="28">
        <f t="shared" si="42"/>
        <v>2.897353383947594</v>
      </c>
      <c r="V75" s="28">
        <f t="shared" si="43"/>
        <v>2.6678075148923335</v>
      </c>
      <c r="W75" s="28">
        <f t="shared" si="44"/>
        <v>2.6198506593372795</v>
      </c>
      <c r="X75" s="28">
        <f t="shared" si="45"/>
        <v>4116.837220561034</v>
      </c>
      <c r="Y75" s="28">
        <f t="shared" si="46"/>
        <v>3870.976341253094</v>
      </c>
      <c r="Z75" s="28">
        <f t="shared" si="47"/>
        <v>3654.8673330667543</v>
      </c>
      <c r="AA75" s="28">
        <f t="shared" si="48"/>
        <v>3511.0160021913744</v>
      </c>
      <c r="AB75" s="28">
        <f t="shared" si="49"/>
        <v>3479.8373475223766</v>
      </c>
      <c r="AC75" s="28">
        <f t="shared" si="50"/>
        <v>270.9451293024449</v>
      </c>
      <c r="AD75" s="28">
        <f t="shared" si="51"/>
        <v>212.71367760647607</v>
      </c>
      <c r="AE75" s="28">
        <f t="shared" si="52"/>
        <v>171.7567631325475</v>
      </c>
      <c r="AF75" s="28">
        <f t="shared" si="53"/>
        <v>148.69543022524977</v>
      </c>
      <c r="AG75" s="28">
        <f t="shared" si="54"/>
        <v>144.08288883008873</v>
      </c>
      <c r="AH75" s="25"/>
      <c r="BX75" s="2"/>
    </row>
    <row r="76" spans="1:76" ht="16.5">
      <c r="A76" s="15">
        <f>J27</f>
        <v>36.23820889210402</v>
      </c>
      <c r="B76" s="15">
        <v>-0.6526372462371004</v>
      </c>
      <c r="C76" s="11">
        <v>181.6577317804412</v>
      </c>
      <c r="D76" s="4">
        <v>-1.463643292735403</v>
      </c>
      <c r="E76" s="31">
        <f t="shared" si="28"/>
        <v>1.6025564150897398</v>
      </c>
      <c r="F76" s="31">
        <f t="shared" si="29"/>
        <v>0.6152601897120908</v>
      </c>
      <c r="G76" s="31">
        <f t="shared" si="30"/>
        <v>171.25404834356934</v>
      </c>
      <c r="H76" s="31">
        <f t="shared" si="31"/>
        <v>1.3798192719636135</v>
      </c>
      <c r="I76" s="31">
        <f t="shared" si="32"/>
        <v>1.5107767288142726</v>
      </c>
      <c r="J76" s="31">
        <f t="shared" si="33"/>
        <v>3.0213962536358423</v>
      </c>
      <c r="K76" s="31">
        <f t="shared" si="34"/>
        <v>46.66168729052584</v>
      </c>
      <c r="L76" s="31">
        <f t="shared" si="35"/>
        <v>1009.2516972721938</v>
      </c>
      <c r="M76" s="31">
        <f t="shared" si="36"/>
        <v>24.357935452733333</v>
      </c>
      <c r="N76" s="31">
        <f t="shared" si="37"/>
        <v>6213.044969468398</v>
      </c>
      <c r="O76" s="31">
        <f t="shared" si="38"/>
        <v>3989.602480218657</v>
      </c>
      <c r="P76" s="31">
        <f t="shared" si="39"/>
        <v>11282.918769702508</v>
      </c>
      <c r="Q76" s="4">
        <f>P76*J$31*(A76-A75)</f>
        <v>0.11021227860743457</v>
      </c>
      <c r="R76" s="25"/>
      <c r="S76" s="28">
        <f t="shared" si="40"/>
        <v>3.7664277807442694</v>
      </c>
      <c r="T76" s="28">
        <f t="shared" si="41"/>
        <v>3.348612112711553</v>
      </c>
      <c r="U76" s="28">
        <f t="shared" si="42"/>
        <v>3.0213962536358423</v>
      </c>
      <c r="V76" s="28">
        <f t="shared" si="43"/>
        <v>2.8165359837610304</v>
      </c>
      <c r="W76" s="28">
        <f t="shared" si="44"/>
        <v>2.7613985515326425</v>
      </c>
      <c r="X76" s="28">
        <f t="shared" si="45"/>
        <v>4127.488158750744</v>
      </c>
      <c r="Y76" s="28">
        <f t="shared" si="46"/>
        <v>3913.633660655781</v>
      </c>
      <c r="Z76" s="28">
        <f t="shared" si="47"/>
        <v>3729.0592292636607</v>
      </c>
      <c r="AA76" s="28">
        <f t="shared" si="48"/>
        <v>3605.2137526825245</v>
      </c>
      <c r="AB76" s="28">
        <f t="shared" si="49"/>
        <v>3570.725188532647</v>
      </c>
      <c r="AC76" s="28">
        <f t="shared" si="50"/>
        <v>273.8078732104069</v>
      </c>
      <c r="AD76" s="28">
        <f t="shared" si="51"/>
        <v>221.83519992133498</v>
      </c>
      <c r="AE76" s="28">
        <f t="shared" si="52"/>
        <v>184.89582814724415</v>
      </c>
      <c r="AF76" s="28">
        <f t="shared" si="53"/>
        <v>163.4518832724994</v>
      </c>
      <c r="AG76" s="28">
        <f t="shared" si="54"/>
        <v>157.90162665644291</v>
      </c>
      <c r="AH76" s="25"/>
      <c r="BX76" s="2"/>
    </row>
    <row r="77" spans="2:76" ht="16.5">
      <c r="B77" s="15"/>
      <c r="D77" s="4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R77" s="2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30"/>
      <c r="AE77" s="30"/>
      <c r="AF77" s="30"/>
      <c r="AG77" s="30"/>
      <c r="AH77" s="25"/>
      <c r="BX77" s="2"/>
    </row>
    <row r="78" spans="1:76" ht="16.5">
      <c r="A78" s="15">
        <f>I28</f>
        <v>41.284249216564326</v>
      </c>
      <c r="B78" s="15">
        <v>-0.6091989960299014</v>
      </c>
      <c r="C78" s="11">
        <v>165.1876539783805</v>
      </c>
      <c r="D78" s="4">
        <v>-0.9962057691997916</v>
      </c>
      <c r="E78" s="31">
        <f aca="true" t="shared" si="56" ref="E78:E92">SQRT(B78^2+D78^2)</f>
        <v>1.1677111592130942</v>
      </c>
      <c r="F78" s="31">
        <f aca="true" t="shared" si="57" ref="F78:F92">-B78*$E$26*(1-$E$30)/$E$27/$E$31</f>
        <v>0.5743096827998128</v>
      </c>
      <c r="G78" s="31">
        <f aca="true" t="shared" si="58" ref="G78:G92">C78*$E$26*(1-$E$30)/$E$27/$E$31</f>
        <v>155.72722505621542</v>
      </c>
      <c r="H78" s="31">
        <f aca="true" t="shared" si="59" ref="H78:H92">-D78*$E$26*(1-$E$30)/$E$27/$E$31</f>
        <v>0.9391522688661716</v>
      </c>
      <c r="I78" s="31">
        <f aca="true" t="shared" si="60" ref="I78:I92">E78*$E$26*(1-$E$30)/$E$27/$E$31</f>
        <v>1.100835408166952</v>
      </c>
      <c r="J78" s="31">
        <f aca="true" t="shared" si="61" ref="J78:J92">E78*E$26/E$27</f>
        <v>2.201556268817933</v>
      </c>
      <c r="K78" s="31">
        <f aca="true" t="shared" si="62" ref="K78:K92">E$33*E$13/120*E$5*F78^2/E$6*E$3*E$8*(E$8-1)/E$4</f>
        <v>40.65697715779624</v>
      </c>
      <c r="L78" s="31">
        <f aca="true" t="shared" si="63" ref="L78:L92">E$33*E$13/6*F78^2*E$3/E$7/E$4*SQRT(E$5^2+16*E$3^2)*(1+(G78*E$3/F78)^2/15)</f>
        <v>874.4910752314333</v>
      </c>
      <c r="M78" s="31">
        <f aca="true" t="shared" si="64" ref="M78:M92">E$34*E$13*H78^2/8*E$4/E$7/E$3*SQRT(E$5^2+16*E$3^2)</f>
        <v>11.28413014564507</v>
      </c>
      <c r="N78" s="31">
        <f aca="true" t="shared" si="65" ref="N78:N92">E$33*2*E$13*E$14*I78^2/E$12*E$19</f>
        <v>3298.7446897022164</v>
      </c>
      <c r="O78" s="31">
        <f aca="true" t="shared" si="66" ref="O78:O92">(X78+AC78+Y78+AD78+Z78+AE78+AA78+AF78+AB78+AG78)/5</f>
        <v>3381.261404969977</v>
      </c>
      <c r="P78" s="31">
        <f aca="true" t="shared" si="67" ref="P78:P92">SUM(K78:O78)</f>
        <v>7606.438277207068</v>
      </c>
      <c r="Q78" s="4">
        <f>P78*J$31*(A79-A78)</f>
        <v>0.04294946702989321</v>
      </c>
      <c r="R78" s="25"/>
      <c r="S78" s="28">
        <f aca="true" t="shared" si="68" ref="S78:S92">SQRT(($B78-$C78*0.8*$E$3)^2+$D78^2)*$E$26/$E$27</f>
        <v>3.0166965304921356</v>
      </c>
      <c r="T78" s="28">
        <f aca="true" t="shared" si="69" ref="T78:T92">SQRT(($B78-$C78*0.4*$E$3)^2+$D78^2)*$E$26/$E$27</f>
        <v>2.5702814397871547</v>
      </c>
      <c r="U78" s="28">
        <f aca="true" t="shared" si="70" ref="U78:U92">SQRT(($B78)^2+$D78^2)*$E$26/$E$27</f>
        <v>2.201556268817933</v>
      </c>
      <c r="V78" s="28">
        <f aca="true" t="shared" si="71" ref="V78:V92">SQRT(($B78+$C78*0.4*$E$3)^2+$D78^2)*$E$26/$E$27</f>
        <v>1.954985404614291</v>
      </c>
      <c r="W78" s="28">
        <f aca="true" t="shared" si="72" ref="W78:W92">SQRT(($B78+$C78*0.8*$E$3)^2+$D78^2)*$E$26/$E$27</f>
        <v>1.8792819006643016</v>
      </c>
      <c r="X78" s="28">
        <f aca="true" t="shared" si="73" ref="X78:X92">$E$35*$E$13*$E$14*$E$16/$E$31*2/3*$E$20/PI()*($E$21*$E$22*LN((S78+$E$22)/($E$30*S78+$E$22))+$E$23*S78*(1-$E$30)+$E$24*S78^2/2*(1-$E$30^2))</f>
        <v>3726.291903424659</v>
      </c>
      <c r="Y78" s="28">
        <f aca="true" t="shared" si="74" ref="Y78:Y92">$E$35*$E$13*$E$14*$E$16/$E$31*2/3*$E$20/PI()*($E$21*$E$22*LN((T78+$E$22)/($E$30*T78+$E$22))+$E$23*T78*(1-$E$30)+$E$24*T78^2/2*(1-$E$30^2))</f>
        <v>3447.185054728287</v>
      </c>
      <c r="Z78" s="28">
        <f aca="true" t="shared" si="75" ref="Z78:Z92">$E$35*$E$13*$E$14*$E$16/$E$31*2/3*$E$20/PI()*($E$21*$E$22*LN((U78+$E$22)/($E$30*U78+$E$22))+$E$23*U78*(1-$E$30)+$E$24*U78^2/2*(1-$E$30^2))</f>
        <v>3189.80605983907</v>
      </c>
      <c r="AA78" s="28">
        <f aca="true" t="shared" si="76" ref="AA78:AA92">$E$35*$E$13*$E$14*$E$16/$E$31*2/3*$E$20/PI()*($E$21*$E$22*LN((V78+$E$22)/($E$30*V78+$E$22))+$E$23*V78*(1-$E$30)+$E$24*V78^2/2*(1-$E$30^2))</f>
        <v>3001.832557734887</v>
      </c>
      <c r="AB78" s="28">
        <f aca="true" t="shared" si="77" ref="AB78:AB92">$E$35*$E$13*$E$14*$E$16/$E$31*2/3*$E$20/PI()*($E$21*$E$22*LN((W78+$E$22)/($E$30*W78+$E$22))+$E$23*W78*(1-$E$30)+$E$24*W78^2/2*(1-$E$30^2))</f>
        <v>2941.2296520966806</v>
      </c>
      <c r="AC78" s="28">
        <f aca="true" t="shared" si="78" ref="AC78:AC92">1/18/PI()*$E$20/$E$31*S78*$E$25^2*(3*S78+4*$G$22)/($G$21*$G$22*16*$E$13*$E$14*$E$16*$E$3^2*$E$4^2)</f>
        <v>184.3893580205831</v>
      </c>
      <c r="AD78" s="28">
        <f aca="true" t="shared" si="79" ref="AD78:AD92">1/18/PI()*$E$20/$E$31*T78*$E$25^2*(3*T78+4*$G$22)/($G$21*$G$22*16*$E$13*$E$14*$E$16*$E$3^2*$E$4^2)</f>
        <v>139.38989825342927</v>
      </c>
      <c r="AE78" s="28">
        <f aca="true" t="shared" si="80" ref="AE78:AE92">1/18/PI()*$E$20/$E$31*U78*$E$25^2*(3*U78+4*$G$22)/($G$21*$G$22*16*$E$13*$E$14*$E$16*$E$3^2*$E$4^2)</f>
        <v>106.86168251131255</v>
      </c>
      <c r="AF78" s="28">
        <f aca="true" t="shared" si="81" ref="AF78:AF92">1/18/PI()*$E$20/$E$31*V78*$E$25^2*(3*V78+4*$G$22)/($G$21*$G$22*16*$E$13*$E$14*$E$16*$E$3^2*$E$4^2)</f>
        <v>87.45177793567593</v>
      </c>
      <c r="AG78" s="28">
        <f aca="true" t="shared" si="82" ref="AG78:AG92">1/18/PI()*$E$20/$E$31*W78*$E$25^2*(3*W78+4*$G$22)/($G$21*$G$22*16*$E$13*$E$14*$E$16*$E$3^2*$E$4^2)</f>
        <v>81.86908030529972</v>
      </c>
      <c r="AH78" s="25"/>
      <c r="BX78" s="2"/>
    </row>
    <row r="79" spans="1:76" ht="16.5">
      <c r="A79" s="19">
        <v>42</v>
      </c>
      <c r="B79" s="15">
        <v>-0.6036062565672307</v>
      </c>
      <c r="C79" s="11">
        <v>178.0405812419791</v>
      </c>
      <c r="D79" s="4">
        <v>-1.0020586485015945</v>
      </c>
      <c r="E79" s="31">
        <f t="shared" si="56"/>
        <v>1.1698128260554967</v>
      </c>
      <c r="F79" s="31">
        <f t="shared" si="57"/>
        <v>0.569037243994561</v>
      </c>
      <c r="G79" s="31">
        <f t="shared" si="58"/>
        <v>167.8440549064144</v>
      </c>
      <c r="H79" s="31">
        <f t="shared" si="59"/>
        <v>0.9446699490941264</v>
      </c>
      <c r="I79" s="31">
        <f t="shared" si="60"/>
        <v>1.1028167108701359</v>
      </c>
      <c r="J79" s="31">
        <f t="shared" si="61"/>
        <v>2.2055186680596903</v>
      </c>
      <c r="K79" s="31">
        <f t="shared" si="62"/>
        <v>39.91390261097279</v>
      </c>
      <c r="L79" s="31">
        <f t="shared" si="63"/>
        <v>874.8666937097439</v>
      </c>
      <c r="M79" s="31">
        <f t="shared" si="64"/>
        <v>11.417112036795464</v>
      </c>
      <c r="N79" s="31">
        <f t="shared" si="65"/>
        <v>3310.6296515341246</v>
      </c>
      <c r="O79" s="31">
        <f t="shared" si="66"/>
        <v>3399.269190329561</v>
      </c>
      <c r="P79" s="31">
        <f t="shared" si="67"/>
        <v>7636.0965502211975</v>
      </c>
      <c r="Q79" s="4">
        <f aca="true" t="shared" si="83" ref="Q79:Q91">P79*J$31</f>
        <v>0.060240145520512746</v>
      </c>
      <c r="R79" s="25"/>
      <c r="S79" s="28">
        <f t="shared" si="68"/>
        <v>3.0894250706337694</v>
      </c>
      <c r="T79" s="28">
        <f t="shared" si="69"/>
        <v>2.6034093026690917</v>
      </c>
      <c r="U79" s="28">
        <f t="shared" si="70"/>
        <v>2.2055186680596903</v>
      </c>
      <c r="V79" s="28">
        <f t="shared" si="71"/>
        <v>1.9504525272018152</v>
      </c>
      <c r="W79" s="28">
        <f t="shared" si="72"/>
        <v>1.8967333482459878</v>
      </c>
      <c r="X79" s="28">
        <f t="shared" si="73"/>
        <v>3768.738681953024</v>
      </c>
      <c r="Y79" s="28">
        <f t="shared" si="74"/>
        <v>3469.0554034790416</v>
      </c>
      <c r="Z79" s="28">
        <f t="shared" si="75"/>
        <v>3192.716487998411</v>
      </c>
      <c r="AA79" s="28">
        <f t="shared" si="76"/>
        <v>2998.2440634847076</v>
      </c>
      <c r="AB79" s="28">
        <f t="shared" si="77"/>
        <v>2955.3282504401463</v>
      </c>
      <c r="AC79" s="28">
        <f t="shared" si="78"/>
        <v>192.30339767609223</v>
      </c>
      <c r="AD79" s="28">
        <f t="shared" si="79"/>
        <v>142.51788685563935</v>
      </c>
      <c r="AE79" s="28">
        <f t="shared" si="80"/>
        <v>107.18892517883835</v>
      </c>
      <c r="AF79" s="28">
        <f t="shared" si="81"/>
        <v>87.11252404120522</v>
      </c>
      <c r="AG79" s="28">
        <f t="shared" si="82"/>
        <v>83.14033054069623</v>
      </c>
      <c r="AH79" s="25"/>
      <c r="BX79" s="2"/>
    </row>
    <row r="80" spans="1:76" ht="16.5">
      <c r="A80" s="19">
        <v>43</v>
      </c>
      <c r="B80" s="15">
        <v>-0.5973385358568848</v>
      </c>
      <c r="C80" s="11">
        <v>186.95603637908826</v>
      </c>
      <c r="D80" s="4">
        <v>-1.0854266139488287</v>
      </c>
      <c r="E80" s="31">
        <f t="shared" si="56"/>
        <v>1.2389367460399527</v>
      </c>
      <c r="F80" s="31">
        <f t="shared" si="57"/>
        <v>0.5631284806569735</v>
      </c>
      <c r="G80" s="31">
        <f t="shared" si="58"/>
        <v>176.24891480470257</v>
      </c>
      <c r="H80" s="31">
        <f t="shared" si="59"/>
        <v>1.0232633645522777</v>
      </c>
      <c r="I80" s="31">
        <f t="shared" si="60"/>
        <v>1.1679818487296276</v>
      </c>
      <c r="J80" s="31">
        <f t="shared" si="61"/>
        <v>2.33584216301507</v>
      </c>
      <c r="K80" s="31">
        <f t="shared" si="62"/>
        <v>39.08929107287295</v>
      </c>
      <c r="L80" s="31">
        <f t="shared" si="63"/>
        <v>869.8150282797249</v>
      </c>
      <c r="M80" s="31">
        <f t="shared" si="64"/>
        <v>13.395869666617857</v>
      </c>
      <c r="N80" s="31">
        <f t="shared" si="65"/>
        <v>3713.43743357098</v>
      </c>
      <c r="O80" s="31">
        <f t="shared" si="66"/>
        <v>3511.2316770880957</v>
      </c>
      <c r="P80" s="31">
        <f t="shared" si="67"/>
        <v>8146.969299678291</v>
      </c>
      <c r="Q80" s="4">
        <f t="shared" si="83"/>
        <v>0.06427035238960586</v>
      </c>
      <c r="R80" s="25"/>
      <c r="S80" s="28">
        <f t="shared" si="68"/>
        <v>3.229254149473371</v>
      </c>
      <c r="T80" s="28">
        <f t="shared" si="69"/>
        <v>2.733427749264528</v>
      </c>
      <c r="U80" s="28">
        <f t="shared" si="70"/>
        <v>2.33584216301507</v>
      </c>
      <c r="V80" s="28">
        <f t="shared" si="71"/>
        <v>2.093245425672709</v>
      </c>
      <c r="W80" s="28">
        <f t="shared" si="72"/>
        <v>2.061111512071033</v>
      </c>
      <c r="X80" s="28">
        <f t="shared" si="73"/>
        <v>3848.1217575335995</v>
      </c>
      <c r="Y80" s="28">
        <f t="shared" si="74"/>
        <v>3553.0358845716105</v>
      </c>
      <c r="Z80" s="28">
        <f t="shared" si="75"/>
        <v>3286.6247055242857</v>
      </c>
      <c r="AA80" s="28">
        <f t="shared" si="76"/>
        <v>3108.9343482188146</v>
      </c>
      <c r="AB80" s="28">
        <f t="shared" si="77"/>
        <v>3084.4395643183448</v>
      </c>
      <c r="AC80" s="28">
        <f t="shared" si="78"/>
        <v>207.97789086845214</v>
      </c>
      <c r="AD80" s="28">
        <f t="shared" si="79"/>
        <v>155.1219096939371</v>
      </c>
      <c r="AE80" s="28">
        <f t="shared" si="80"/>
        <v>118.22211851427413</v>
      </c>
      <c r="AF80" s="28">
        <f t="shared" si="81"/>
        <v>98.10434202218882</v>
      </c>
      <c r="AG80" s="28">
        <f t="shared" si="82"/>
        <v>95.57586417497438</v>
      </c>
      <c r="AH80" s="25"/>
      <c r="BX80" s="2"/>
    </row>
    <row r="81" spans="1:76" ht="16.5">
      <c r="A81" s="19">
        <v>44</v>
      </c>
      <c r="B81" s="15">
        <v>-0.5899700995025388</v>
      </c>
      <c r="C81" s="11">
        <v>192.78678151772814</v>
      </c>
      <c r="D81" s="4">
        <v>-1.1637762674259693</v>
      </c>
      <c r="E81" s="31">
        <f t="shared" si="56"/>
        <v>1.3047758117511823</v>
      </c>
      <c r="F81" s="31">
        <f t="shared" si="57"/>
        <v>0.556182040539749</v>
      </c>
      <c r="G81" s="31">
        <f t="shared" si="58"/>
        <v>181.74572851070292</v>
      </c>
      <c r="H81" s="31">
        <f t="shared" si="59"/>
        <v>1.0971258707763083</v>
      </c>
      <c r="I81" s="31">
        <f t="shared" si="60"/>
        <v>1.2300502585445978</v>
      </c>
      <c r="J81" s="31">
        <f t="shared" si="61"/>
        <v>2.459972524111689</v>
      </c>
      <c r="K81" s="31">
        <f t="shared" si="62"/>
        <v>38.130871463303315</v>
      </c>
      <c r="L81" s="31">
        <f t="shared" si="63"/>
        <v>858.7199392280646</v>
      </c>
      <c r="M81" s="31">
        <f t="shared" si="64"/>
        <v>15.399583482504715</v>
      </c>
      <c r="N81" s="31">
        <f t="shared" si="65"/>
        <v>4118.600208013891</v>
      </c>
      <c r="O81" s="31">
        <f t="shared" si="66"/>
        <v>3611.5512392886617</v>
      </c>
      <c r="P81" s="31">
        <f t="shared" si="67"/>
        <v>8642.401841476425</v>
      </c>
      <c r="Q81" s="4">
        <f t="shared" si="83"/>
        <v>0.06817875352325216</v>
      </c>
      <c r="R81" s="25"/>
      <c r="S81" s="28">
        <f t="shared" si="68"/>
        <v>3.346591150531139</v>
      </c>
      <c r="T81" s="28">
        <f t="shared" si="69"/>
        <v>2.8504859979272914</v>
      </c>
      <c r="U81" s="28">
        <f t="shared" si="70"/>
        <v>2.459972524111689</v>
      </c>
      <c r="V81" s="28">
        <f t="shared" si="71"/>
        <v>2.2312004647337274</v>
      </c>
      <c r="W81" s="28">
        <f t="shared" si="72"/>
        <v>2.214868507995507</v>
      </c>
      <c r="X81" s="28">
        <f t="shared" si="73"/>
        <v>3912.5412882063883</v>
      </c>
      <c r="Y81" s="28">
        <f t="shared" si="74"/>
        <v>3626.2011129358007</v>
      </c>
      <c r="Z81" s="28">
        <f t="shared" si="75"/>
        <v>3372.9270046443485</v>
      </c>
      <c r="AA81" s="28">
        <f t="shared" si="76"/>
        <v>3211.4996661706564</v>
      </c>
      <c r="AB81" s="28">
        <f t="shared" si="77"/>
        <v>3199.5708721702777</v>
      </c>
      <c r="AC81" s="28">
        <f t="shared" si="78"/>
        <v>221.59690799335164</v>
      </c>
      <c r="AD81" s="28">
        <f t="shared" si="79"/>
        <v>166.9160584761818</v>
      </c>
      <c r="AE81" s="28">
        <f t="shared" si="80"/>
        <v>129.21860336063895</v>
      </c>
      <c r="AF81" s="28">
        <f t="shared" si="81"/>
        <v>109.32166060035802</v>
      </c>
      <c r="AG81" s="28">
        <f t="shared" si="82"/>
        <v>107.96302188530079</v>
      </c>
      <c r="AH81" s="25"/>
      <c r="BX81" s="2"/>
    </row>
    <row r="82" spans="1:76" ht="16.5">
      <c r="A82" s="19">
        <v>45</v>
      </c>
      <c r="B82" s="15">
        <v>-0.5820132667816189</v>
      </c>
      <c r="C82" s="11">
        <v>196.4470854530454</v>
      </c>
      <c r="D82" s="4">
        <v>-1.239075168627491</v>
      </c>
      <c r="E82" s="31">
        <f t="shared" si="56"/>
        <v>1.3689582594875043</v>
      </c>
      <c r="F82" s="31">
        <f t="shared" si="57"/>
        <v>0.5486809019859711</v>
      </c>
      <c r="G82" s="31">
        <f t="shared" si="58"/>
        <v>185.19640391519715</v>
      </c>
      <c r="H82" s="31">
        <f t="shared" si="59"/>
        <v>1.1681123437449832</v>
      </c>
      <c r="I82" s="31">
        <f t="shared" si="60"/>
        <v>1.29055692621966</v>
      </c>
      <c r="J82" s="31">
        <f t="shared" si="61"/>
        <v>2.5809795634356947</v>
      </c>
      <c r="K82" s="31">
        <f t="shared" si="62"/>
        <v>37.10927729861137</v>
      </c>
      <c r="L82" s="31">
        <f t="shared" si="63"/>
        <v>843.7771548570597</v>
      </c>
      <c r="M82" s="31">
        <f t="shared" si="64"/>
        <v>17.456826231616358</v>
      </c>
      <c r="N82" s="31">
        <f t="shared" si="65"/>
        <v>4533.757173700639</v>
      </c>
      <c r="O82" s="31">
        <f t="shared" si="66"/>
        <v>3704.2802185491882</v>
      </c>
      <c r="P82" s="31">
        <f t="shared" si="67"/>
        <v>9136.380650637115</v>
      </c>
      <c r="Q82" s="4">
        <f t="shared" si="83"/>
        <v>0.07207568635433685</v>
      </c>
      <c r="R82" s="25"/>
      <c r="S82" s="28">
        <f t="shared" si="68"/>
        <v>3.450054462161232</v>
      </c>
      <c r="T82" s="28">
        <f t="shared" si="69"/>
        <v>2.9601840399909025</v>
      </c>
      <c r="U82" s="28">
        <f t="shared" si="70"/>
        <v>2.5809795634356947</v>
      </c>
      <c r="V82" s="28">
        <f t="shared" si="71"/>
        <v>2.3662573107433134</v>
      </c>
      <c r="W82" s="28">
        <f t="shared" si="72"/>
        <v>2.3613225133253746</v>
      </c>
      <c r="X82" s="28">
        <f t="shared" si="73"/>
        <v>3967.7316745055546</v>
      </c>
      <c r="Y82" s="28">
        <f t="shared" si="74"/>
        <v>3692.748304317029</v>
      </c>
      <c r="Z82" s="28">
        <f t="shared" si="75"/>
        <v>3454.2691393808345</v>
      </c>
      <c r="AA82" s="28">
        <f t="shared" si="76"/>
        <v>3308.047506843912</v>
      </c>
      <c r="AB82" s="28">
        <f t="shared" si="77"/>
        <v>3304.584082113803</v>
      </c>
      <c r="AC82" s="28">
        <f t="shared" si="78"/>
        <v>233.9583072076811</v>
      </c>
      <c r="AD82" s="28">
        <f t="shared" si="79"/>
        <v>178.35263830593215</v>
      </c>
      <c r="AE82" s="28">
        <f t="shared" si="80"/>
        <v>140.39632876547194</v>
      </c>
      <c r="AF82" s="28">
        <f t="shared" si="81"/>
        <v>120.87253894574707</v>
      </c>
      <c r="AG82" s="28">
        <f t="shared" si="82"/>
        <v>120.44057235997748</v>
      </c>
      <c r="AH82" s="25"/>
      <c r="BX82" s="2"/>
    </row>
    <row r="83" spans="1:76" ht="16.5">
      <c r="A83" s="19">
        <v>46</v>
      </c>
      <c r="B83" s="15">
        <v>-0.5731696417058778</v>
      </c>
      <c r="C83" s="11">
        <v>198.3951260814957</v>
      </c>
      <c r="D83" s="4">
        <v>-1.3126336149754054</v>
      </c>
      <c r="E83" s="31">
        <f t="shared" si="56"/>
        <v>1.4323164613089683</v>
      </c>
      <c r="F83" s="31">
        <f t="shared" si="57"/>
        <v>0.5403437583840469</v>
      </c>
      <c r="G83" s="31">
        <f t="shared" si="58"/>
        <v>187.03287870044375</v>
      </c>
      <c r="H83" s="31">
        <f t="shared" si="59"/>
        <v>1.2374580391000756</v>
      </c>
      <c r="I83" s="31">
        <f t="shared" si="60"/>
        <v>1.3502865532019497</v>
      </c>
      <c r="J83" s="31">
        <f t="shared" si="61"/>
        <v>2.700432602229187</v>
      </c>
      <c r="K83" s="31">
        <f t="shared" si="62"/>
        <v>35.99010280213525</v>
      </c>
      <c r="L83" s="31">
        <f t="shared" si="63"/>
        <v>824.769739662057</v>
      </c>
      <c r="M83" s="31">
        <f t="shared" si="64"/>
        <v>19.591018969876398</v>
      </c>
      <c r="N83" s="31">
        <f t="shared" si="65"/>
        <v>4963.131811556757</v>
      </c>
      <c r="O83" s="31">
        <f t="shared" si="66"/>
        <v>3791.650174377708</v>
      </c>
      <c r="P83" s="31">
        <f t="shared" si="67"/>
        <v>9635.132847368533</v>
      </c>
      <c r="Q83" s="4">
        <f t="shared" si="83"/>
        <v>0.0760102758022539</v>
      </c>
      <c r="R83" s="25"/>
      <c r="S83" s="28">
        <f t="shared" si="68"/>
        <v>3.5437262873756814</v>
      </c>
      <c r="T83" s="28">
        <f t="shared" si="69"/>
        <v>3.0651812852138356</v>
      </c>
      <c r="U83" s="28">
        <f t="shared" si="70"/>
        <v>2.700432602229187</v>
      </c>
      <c r="V83" s="28">
        <f t="shared" si="71"/>
        <v>2.4997991486735316</v>
      </c>
      <c r="W83" s="28">
        <f t="shared" si="72"/>
        <v>2.503061114876138</v>
      </c>
      <c r="X83" s="28">
        <f t="shared" si="73"/>
        <v>4016.4270392709213</v>
      </c>
      <c r="Y83" s="28">
        <f t="shared" si="74"/>
        <v>3754.67858300883</v>
      </c>
      <c r="Z83" s="28">
        <f t="shared" si="75"/>
        <v>3531.999329835649</v>
      </c>
      <c r="AA83" s="28">
        <f t="shared" si="76"/>
        <v>3399.995689434548</v>
      </c>
      <c r="AB83" s="28">
        <f t="shared" si="77"/>
        <v>3402.199683208375</v>
      </c>
      <c r="AC83" s="28">
        <f t="shared" si="78"/>
        <v>245.4349274779672</v>
      </c>
      <c r="AD83" s="28">
        <f t="shared" si="79"/>
        <v>189.64713616019424</v>
      </c>
      <c r="AE83" s="28">
        <f t="shared" si="80"/>
        <v>151.8739310969303</v>
      </c>
      <c r="AF83" s="28">
        <f t="shared" si="81"/>
        <v>132.8475772667824</v>
      </c>
      <c r="AG83" s="28">
        <f t="shared" si="82"/>
        <v>133.14697512833894</v>
      </c>
      <c r="AH83" s="25"/>
      <c r="BX83" s="2"/>
    </row>
    <row r="84" spans="1:76" ht="16.5">
      <c r="A84" s="19">
        <v>47</v>
      </c>
      <c r="B84" s="15">
        <v>-0.5638422032320918</v>
      </c>
      <c r="C84" s="11">
        <v>198.77989350058206</v>
      </c>
      <c r="D84" s="4">
        <v>-1.3853539176118572</v>
      </c>
      <c r="E84" s="31">
        <f t="shared" si="56"/>
        <v>1.495701677203091</v>
      </c>
      <c r="F84" s="31">
        <f t="shared" si="57"/>
        <v>0.5315505097639327</v>
      </c>
      <c r="G84" s="31">
        <f t="shared" si="58"/>
        <v>187.3956101820241</v>
      </c>
      <c r="H84" s="31">
        <f t="shared" si="59"/>
        <v>1.306013591903707</v>
      </c>
      <c r="I84" s="31">
        <f t="shared" si="60"/>
        <v>1.410041647139374</v>
      </c>
      <c r="J84" s="31">
        <f t="shared" si="61"/>
        <v>2.8199365722829826</v>
      </c>
      <c r="K84" s="31">
        <f t="shared" si="62"/>
        <v>34.82826872632257</v>
      </c>
      <c r="L84" s="31">
        <f t="shared" si="63"/>
        <v>802.8867694576271</v>
      </c>
      <c r="M84" s="31">
        <f t="shared" si="64"/>
        <v>21.821844456529835</v>
      </c>
      <c r="N84" s="31">
        <f t="shared" si="65"/>
        <v>5412.124821323289</v>
      </c>
      <c r="O84" s="31">
        <f t="shared" si="66"/>
        <v>3875.318609120208</v>
      </c>
      <c r="P84" s="31">
        <f t="shared" si="67"/>
        <v>10146.980313083975</v>
      </c>
      <c r="Q84" s="4">
        <f t="shared" si="83"/>
        <v>0.08004817207768938</v>
      </c>
      <c r="R84" s="25"/>
      <c r="S84" s="28">
        <f t="shared" si="68"/>
        <v>3.6305276974975973</v>
      </c>
      <c r="T84" s="28">
        <f t="shared" si="69"/>
        <v>3.1677278785419847</v>
      </c>
      <c r="U84" s="28">
        <f t="shared" si="70"/>
        <v>2.8199365722829826</v>
      </c>
      <c r="V84" s="28">
        <f t="shared" si="71"/>
        <v>2.633127121868252</v>
      </c>
      <c r="W84" s="28">
        <f t="shared" si="72"/>
        <v>2.641675305019404</v>
      </c>
      <c r="X84" s="28">
        <f t="shared" si="73"/>
        <v>4060.4938176963246</v>
      </c>
      <c r="Y84" s="28">
        <f t="shared" si="74"/>
        <v>3813.548184819931</v>
      </c>
      <c r="Z84" s="28">
        <f t="shared" si="75"/>
        <v>3607.3244195902553</v>
      </c>
      <c r="AA84" s="28">
        <f t="shared" si="76"/>
        <v>3488.509090170167</v>
      </c>
      <c r="AB84" s="28">
        <f t="shared" si="77"/>
        <v>3494.0761409751553</v>
      </c>
      <c r="AC84" s="28">
        <f t="shared" si="78"/>
        <v>256.3116229061751</v>
      </c>
      <c r="AD84" s="28">
        <f t="shared" si="79"/>
        <v>201.00657512113665</v>
      </c>
      <c r="AE84" s="28">
        <f t="shared" si="80"/>
        <v>163.79726713962714</v>
      </c>
      <c r="AF84" s="28">
        <f t="shared" si="81"/>
        <v>145.35272515812122</v>
      </c>
      <c r="AG84" s="28">
        <f t="shared" si="82"/>
        <v>146.17320202414584</v>
      </c>
      <c r="AH84" s="25"/>
      <c r="BX84" s="2"/>
    </row>
    <row r="85" spans="1:76" ht="16.5">
      <c r="A85" s="19">
        <v>48</v>
      </c>
      <c r="B85" s="15">
        <v>-0.553885694261746</v>
      </c>
      <c r="C85" s="11">
        <v>197.80678894011174</v>
      </c>
      <c r="D85" s="4">
        <v>-1.4583924395940684</v>
      </c>
      <c r="E85" s="31">
        <f t="shared" si="56"/>
        <v>1.5600313683298022</v>
      </c>
      <c r="F85" s="31">
        <f t="shared" si="57"/>
        <v>0.522164218017201</v>
      </c>
      <c r="G85" s="31">
        <f t="shared" si="58"/>
        <v>186.47823609720646</v>
      </c>
      <c r="H85" s="31">
        <f t="shared" si="59"/>
        <v>1.3748691393769206</v>
      </c>
      <c r="I85" s="31">
        <f t="shared" si="60"/>
        <v>1.4706871254582154</v>
      </c>
      <c r="J85" s="31">
        <f t="shared" si="61"/>
        <v>2.9412212184505946</v>
      </c>
      <c r="K85" s="31">
        <f t="shared" si="62"/>
        <v>33.60911096467109</v>
      </c>
      <c r="L85" s="31">
        <f t="shared" si="63"/>
        <v>778.1041754494771</v>
      </c>
      <c r="M85" s="31">
        <f t="shared" si="64"/>
        <v>24.1834796675472</v>
      </c>
      <c r="N85" s="31">
        <f t="shared" si="65"/>
        <v>5887.684166047686</v>
      </c>
      <c r="O85" s="31">
        <f t="shared" si="66"/>
        <v>3956.9929174688996</v>
      </c>
      <c r="P85" s="31">
        <f t="shared" si="67"/>
        <v>10680.57384959828</v>
      </c>
      <c r="Q85" s="4">
        <f t="shared" si="83"/>
        <v>0.08425762020043419</v>
      </c>
      <c r="R85" s="25"/>
      <c r="S85" s="28">
        <f t="shared" si="68"/>
        <v>3.71335667783244</v>
      </c>
      <c r="T85" s="28">
        <f t="shared" si="69"/>
        <v>3.270047089878009</v>
      </c>
      <c r="U85" s="28">
        <f t="shared" si="70"/>
        <v>2.9412212184505946</v>
      </c>
      <c r="V85" s="28">
        <f t="shared" si="71"/>
        <v>2.7679849483578973</v>
      </c>
      <c r="W85" s="28">
        <f t="shared" si="72"/>
        <v>2.7795832826945928</v>
      </c>
      <c r="X85" s="28">
        <f t="shared" si="73"/>
        <v>4101.612880754566</v>
      </c>
      <c r="Y85" s="28">
        <f t="shared" si="74"/>
        <v>3870.741195633781</v>
      </c>
      <c r="Z85" s="28">
        <f t="shared" si="75"/>
        <v>3681.3811499266444</v>
      </c>
      <c r="AA85" s="28">
        <f t="shared" si="76"/>
        <v>3574.8715054571676</v>
      </c>
      <c r="AB85" s="28">
        <f t="shared" si="77"/>
        <v>3582.1554122916123</v>
      </c>
      <c r="AC85" s="28">
        <f t="shared" si="78"/>
        <v>266.9074536253559</v>
      </c>
      <c r="AD85" s="28">
        <f t="shared" si="79"/>
        <v>212.66442398455445</v>
      </c>
      <c r="AE85" s="28">
        <f t="shared" si="80"/>
        <v>176.34910572430715</v>
      </c>
      <c r="AF85" s="28">
        <f t="shared" si="81"/>
        <v>158.55969144673327</v>
      </c>
      <c r="AG85" s="28">
        <f t="shared" si="82"/>
        <v>159.72176849977657</v>
      </c>
      <c r="AH85" s="25"/>
      <c r="BX85" s="2"/>
    </row>
    <row r="86" spans="1:76" ht="16.5">
      <c r="A86" s="19">
        <v>49</v>
      </c>
      <c r="B86" s="15">
        <v>-0.5431440402046857</v>
      </c>
      <c r="C86" s="11">
        <v>195.4771629223311</v>
      </c>
      <c r="D86" s="4">
        <v>-1.5324290050316072</v>
      </c>
      <c r="E86" s="31">
        <f t="shared" si="56"/>
        <v>1.6258364320779723</v>
      </c>
      <c r="F86" s="31">
        <f t="shared" si="57"/>
        <v>0.5120377470701727</v>
      </c>
      <c r="G86" s="31">
        <f t="shared" si="58"/>
        <v>184.28202962274906</v>
      </c>
      <c r="H86" s="31">
        <f t="shared" si="59"/>
        <v>1.444665571559375</v>
      </c>
      <c r="I86" s="31">
        <f t="shared" si="60"/>
        <v>1.532723480629717</v>
      </c>
      <c r="J86" s="31">
        <f t="shared" si="61"/>
        <v>3.065287473595725</v>
      </c>
      <c r="K86" s="31">
        <f t="shared" si="62"/>
        <v>32.31817027880446</v>
      </c>
      <c r="L86" s="31">
        <f t="shared" si="63"/>
        <v>750.1714555561001</v>
      </c>
      <c r="M86" s="31">
        <f t="shared" si="64"/>
        <v>26.70119561649018</v>
      </c>
      <c r="N86" s="31">
        <f t="shared" si="65"/>
        <v>6394.8674223381895</v>
      </c>
      <c r="O86" s="31">
        <f t="shared" si="66"/>
        <v>4037.5646427341003</v>
      </c>
      <c r="P86" s="31">
        <f t="shared" si="67"/>
        <v>11241.622886523684</v>
      </c>
      <c r="Q86" s="4">
        <f t="shared" si="83"/>
        <v>0.08868366109793317</v>
      </c>
      <c r="R86" s="25"/>
      <c r="S86" s="28">
        <f t="shared" si="68"/>
        <v>3.793559141557016</v>
      </c>
      <c r="T86" s="28">
        <f t="shared" si="69"/>
        <v>3.3733040194513677</v>
      </c>
      <c r="U86" s="28">
        <f t="shared" si="70"/>
        <v>3.065287473595725</v>
      </c>
      <c r="V86" s="28">
        <f t="shared" si="71"/>
        <v>2.905428165503171</v>
      </c>
      <c r="W86" s="28">
        <f t="shared" si="72"/>
        <v>2.918176930036206</v>
      </c>
      <c r="X86" s="28">
        <f t="shared" si="73"/>
        <v>4140.575648884724</v>
      </c>
      <c r="Y86" s="28">
        <f t="shared" si="74"/>
        <v>3926.9337689874665</v>
      </c>
      <c r="Z86" s="28">
        <f t="shared" si="75"/>
        <v>3754.7403605738195</v>
      </c>
      <c r="AA86" s="28">
        <f t="shared" si="76"/>
        <v>3659.770686237248</v>
      </c>
      <c r="AB86" s="28">
        <f t="shared" si="77"/>
        <v>3667.4911625405857</v>
      </c>
      <c r="AC86" s="28">
        <f t="shared" si="78"/>
        <v>277.3691436029302</v>
      </c>
      <c r="AD86" s="28">
        <f t="shared" si="79"/>
        <v>224.75680852423315</v>
      </c>
      <c r="AE86" s="28">
        <f t="shared" si="80"/>
        <v>189.6587310830339</v>
      </c>
      <c r="AF86" s="28">
        <f t="shared" si="81"/>
        <v>172.597616913712</v>
      </c>
      <c r="AG86" s="28">
        <f t="shared" si="82"/>
        <v>173.92928632274717</v>
      </c>
      <c r="AH86" s="25"/>
      <c r="BX86" s="2"/>
    </row>
    <row r="87" spans="1:76" ht="16.5">
      <c r="A87" s="19">
        <v>50</v>
      </c>
      <c r="B87" s="15">
        <v>-0.5318523069431151</v>
      </c>
      <c r="C87" s="11">
        <v>191.67859495808676</v>
      </c>
      <c r="D87" s="4">
        <v>-1.6083404901146503</v>
      </c>
      <c r="E87" s="31">
        <f t="shared" si="56"/>
        <v>1.6939970509251032</v>
      </c>
      <c r="F87" s="31">
        <f t="shared" si="57"/>
        <v>0.5013927003941693</v>
      </c>
      <c r="G87" s="31">
        <f t="shared" si="58"/>
        <v>180.70100868073226</v>
      </c>
      <c r="H87" s="31">
        <f t="shared" si="59"/>
        <v>1.5162295452412444</v>
      </c>
      <c r="I87" s="31">
        <f t="shared" si="60"/>
        <v>1.5969804863776604</v>
      </c>
      <c r="J87" s="31">
        <f t="shared" si="61"/>
        <v>3.1937947988237667</v>
      </c>
      <c r="K87" s="31">
        <f t="shared" si="62"/>
        <v>30.988376408054044</v>
      </c>
      <c r="L87" s="31">
        <f t="shared" si="63"/>
        <v>719.6428146644015</v>
      </c>
      <c r="M87" s="31">
        <f t="shared" si="64"/>
        <v>29.412095840358678</v>
      </c>
      <c r="N87" s="31">
        <f t="shared" si="65"/>
        <v>6942.2962562629955</v>
      </c>
      <c r="O87" s="31">
        <f t="shared" si="66"/>
        <v>4118.170205757901</v>
      </c>
      <c r="P87" s="31">
        <f t="shared" si="67"/>
        <v>11840.509748933711</v>
      </c>
      <c r="Q87" s="4">
        <f t="shared" si="83"/>
        <v>0.09340819954563762</v>
      </c>
      <c r="R87" s="25"/>
      <c r="S87" s="28">
        <f t="shared" si="68"/>
        <v>3.8728894591075314</v>
      </c>
      <c r="T87" s="28">
        <f t="shared" si="69"/>
        <v>3.479257964904733</v>
      </c>
      <c r="U87" s="28">
        <f t="shared" si="70"/>
        <v>3.1937947988237667</v>
      </c>
      <c r="V87" s="28">
        <f t="shared" si="71"/>
        <v>3.047054389798184</v>
      </c>
      <c r="W87" s="28">
        <f t="shared" si="72"/>
        <v>3.0590654943196207</v>
      </c>
      <c r="X87" s="28">
        <f t="shared" si="73"/>
        <v>4178.302026758057</v>
      </c>
      <c r="Y87" s="28">
        <f t="shared" si="74"/>
        <v>3983.041541287521</v>
      </c>
      <c r="Z87" s="28">
        <f t="shared" si="75"/>
        <v>3828.2636531854764</v>
      </c>
      <c r="AA87" s="28">
        <f t="shared" si="76"/>
        <v>3744.107724843352</v>
      </c>
      <c r="AB87" s="28">
        <f t="shared" si="77"/>
        <v>3751.117691007264</v>
      </c>
      <c r="AC87" s="28">
        <f t="shared" si="78"/>
        <v>287.9124445183262</v>
      </c>
      <c r="AD87" s="28">
        <f t="shared" si="79"/>
        <v>237.50723990615825</v>
      </c>
      <c r="AE87" s="28">
        <f t="shared" si="80"/>
        <v>203.9458529112552</v>
      </c>
      <c r="AF87" s="28">
        <f t="shared" si="81"/>
        <v>187.67292627602566</v>
      </c>
      <c r="AG87" s="28">
        <f t="shared" si="82"/>
        <v>188.97992809607192</v>
      </c>
      <c r="AH87" s="25"/>
      <c r="BX87" s="2"/>
    </row>
    <row r="88" spans="1:76" ht="16.5">
      <c r="A88" s="19">
        <v>51</v>
      </c>
      <c r="B88" s="15">
        <v>-0.5197396600150359</v>
      </c>
      <c r="C88" s="11">
        <v>186.28593034491297</v>
      </c>
      <c r="D88" s="4">
        <v>-1.68723168296781</v>
      </c>
      <c r="E88" s="31">
        <f t="shared" si="56"/>
        <v>1.7654687950238412</v>
      </c>
      <c r="F88" s="31">
        <f t="shared" si="57"/>
        <v>0.4899737544332179</v>
      </c>
      <c r="G88" s="31">
        <f t="shared" si="58"/>
        <v>175.61718627849442</v>
      </c>
      <c r="H88" s="31">
        <f t="shared" si="59"/>
        <v>1.5906025764485598</v>
      </c>
      <c r="I88" s="31">
        <f t="shared" si="60"/>
        <v>1.6643589865885846</v>
      </c>
      <c r="J88" s="31">
        <f t="shared" si="61"/>
        <v>3.3285447881704155</v>
      </c>
      <c r="K88" s="31">
        <f t="shared" si="62"/>
        <v>29.59296250434704</v>
      </c>
      <c r="L88" s="31">
        <f t="shared" si="63"/>
        <v>685.9585126806859</v>
      </c>
      <c r="M88" s="31">
        <f t="shared" si="64"/>
        <v>32.36826533686664</v>
      </c>
      <c r="N88" s="31">
        <f t="shared" si="65"/>
        <v>7540.461631726092</v>
      </c>
      <c r="O88" s="31">
        <f t="shared" si="66"/>
        <v>4199.999799836825</v>
      </c>
      <c r="P88" s="31">
        <f t="shared" si="67"/>
        <v>12488.381172084817</v>
      </c>
      <c r="Q88" s="4">
        <f t="shared" si="83"/>
        <v>0.09851917064880861</v>
      </c>
      <c r="R88" s="25"/>
      <c r="S88" s="28">
        <f t="shared" si="68"/>
        <v>3.9530522750065207</v>
      </c>
      <c r="T88" s="28">
        <f t="shared" si="69"/>
        <v>3.589678238075354</v>
      </c>
      <c r="U88" s="28">
        <f t="shared" si="70"/>
        <v>3.3285447881704155</v>
      </c>
      <c r="V88" s="28">
        <f t="shared" si="71"/>
        <v>3.194821427054759</v>
      </c>
      <c r="W88" s="28">
        <f t="shared" si="72"/>
        <v>3.2044984763059396</v>
      </c>
      <c r="X88" s="28">
        <f t="shared" si="73"/>
        <v>4215.614882169273</v>
      </c>
      <c r="Y88" s="28">
        <f t="shared" si="74"/>
        <v>4039.881048952508</v>
      </c>
      <c r="Z88" s="28">
        <f t="shared" si="75"/>
        <v>3902.7612928971625</v>
      </c>
      <c r="AA88" s="28">
        <f t="shared" si="76"/>
        <v>3828.8411706370252</v>
      </c>
      <c r="AB88" s="28">
        <f t="shared" si="77"/>
        <v>3834.277301552898</v>
      </c>
      <c r="AC88" s="28">
        <f t="shared" si="78"/>
        <v>298.76376340224874</v>
      </c>
      <c r="AD88" s="28">
        <f t="shared" si="79"/>
        <v>251.16398229193717</v>
      </c>
      <c r="AE88" s="28">
        <f t="shared" si="80"/>
        <v>219.47464952634058</v>
      </c>
      <c r="AF88" s="28">
        <f t="shared" si="81"/>
        <v>204.0620437982574</v>
      </c>
      <c r="AG88" s="28">
        <f t="shared" si="82"/>
        <v>205.1588639564766</v>
      </c>
      <c r="AH88" s="25"/>
      <c r="BX88" s="2"/>
    </row>
    <row r="89" spans="1:76" ht="16.5">
      <c r="A89" s="19">
        <v>52</v>
      </c>
      <c r="B89" s="15">
        <v>-0.507115608884023</v>
      </c>
      <c r="C89" s="11">
        <v>179.04529282170077</v>
      </c>
      <c r="D89" s="4">
        <v>-1.7698720892038968</v>
      </c>
      <c r="E89" s="31">
        <f t="shared" si="56"/>
        <v>1.8410902891810548</v>
      </c>
      <c r="F89" s="31">
        <f t="shared" si="57"/>
        <v>0.47807269279662773</v>
      </c>
      <c r="G89" s="31">
        <f t="shared" si="58"/>
        <v>168.79122585123804</v>
      </c>
      <c r="H89" s="31">
        <f t="shared" si="59"/>
        <v>1.6685101005928795</v>
      </c>
      <c r="I89" s="31">
        <f t="shared" si="60"/>
        <v>1.7356495773566387</v>
      </c>
      <c r="J89" s="31">
        <f t="shared" si="61"/>
        <v>3.47111855155843</v>
      </c>
      <c r="K89" s="31">
        <f t="shared" si="62"/>
        <v>28.172843600301718</v>
      </c>
      <c r="L89" s="31">
        <f t="shared" si="63"/>
        <v>649.7758570032519</v>
      </c>
      <c r="M89" s="31">
        <f t="shared" si="64"/>
        <v>35.61670527170962</v>
      </c>
      <c r="N89" s="31">
        <f t="shared" si="65"/>
        <v>8200.267461442148</v>
      </c>
      <c r="O89" s="31">
        <f t="shared" si="66"/>
        <v>4283.933303676563</v>
      </c>
      <c r="P89" s="31">
        <f t="shared" si="67"/>
        <v>13197.766170993975</v>
      </c>
      <c r="Q89" s="4">
        <f t="shared" si="83"/>
        <v>0.10411541413306871</v>
      </c>
      <c r="R89" s="25"/>
      <c r="S89" s="28">
        <f t="shared" si="68"/>
        <v>4.035713430560808</v>
      </c>
      <c r="T89" s="28">
        <f t="shared" si="69"/>
        <v>3.706252037405297</v>
      </c>
      <c r="U89" s="28">
        <f t="shared" si="70"/>
        <v>3.47111855155843</v>
      </c>
      <c r="V89" s="28">
        <f t="shared" si="71"/>
        <v>3.350233185349256</v>
      </c>
      <c r="W89" s="28">
        <f t="shared" si="72"/>
        <v>3.3559647430355852</v>
      </c>
      <c r="X89" s="28">
        <f t="shared" si="73"/>
        <v>4253.250149203264</v>
      </c>
      <c r="Y89" s="28">
        <f t="shared" si="74"/>
        <v>4098.121168233241</v>
      </c>
      <c r="Z89" s="28">
        <f t="shared" si="75"/>
        <v>3978.78622849949</v>
      </c>
      <c r="AA89" s="28">
        <f t="shared" si="76"/>
        <v>3914.509468467994</v>
      </c>
      <c r="AB89" s="28">
        <f t="shared" si="77"/>
        <v>3917.603058155676</v>
      </c>
      <c r="AC89" s="28">
        <f t="shared" si="78"/>
        <v>310.1610500941796</v>
      </c>
      <c r="AD89" s="28">
        <f t="shared" si="79"/>
        <v>265.9902928882678</v>
      </c>
      <c r="AE89" s="28">
        <f t="shared" si="80"/>
        <v>236.51545734126273</v>
      </c>
      <c r="AF89" s="28">
        <f t="shared" si="81"/>
        <v>222.0264319619177</v>
      </c>
      <c r="AG89" s="28">
        <f t="shared" si="82"/>
        <v>222.70321353752237</v>
      </c>
      <c r="AH89" s="25"/>
      <c r="BX89" s="2"/>
    </row>
    <row r="90" spans="1:76" ht="16.5">
      <c r="A90" s="19">
        <v>53</v>
      </c>
      <c r="B90" s="15">
        <v>-0.4933396757856654</v>
      </c>
      <c r="C90" s="11">
        <v>169.5704965161943</v>
      </c>
      <c r="D90" s="4">
        <v>-1.857988197278325</v>
      </c>
      <c r="E90" s="31">
        <f t="shared" si="56"/>
        <v>1.9223694173935106</v>
      </c>
      <c r="F90" s="31">
        <f t="shared" si="57"/>
        <v>0.46508571839327395</v>
      </c>
      <c r="G90" s="31">
        <f t="shared" si="58"/>
        <v>159.8590587001596</v>
      </c>
      <c r="H90" s="31">
        <f t="shared" si="59"/>
        <v>1.751579728756375</v>
      </c>
      <c r="I90" s="31">
        <f t="shared" si="60"/>
        <v>1.8122737849573511</v>
      </c>
      <c r="J90" s="31">
        <f t="shared" si="61"/>
        <v>3.6243589936218377</v>
      </c>
      <c r="K90" s="31">
        <f t="shared" si="62"/>
        <v>26.66298792592477</v>
      </c>
      <c r="L90" s="31">
        <f t="shared" si="63"/>
        <v>609.6721205713695</v>
      </c>
      <c r="M90" s="31">
        <f t="shared" si="64"/>
        <v>39.25146612397301</v>
      </c>
      <c r="N90" s="31">
        <f t="shared" si="65"/>
        <v>8940.288642536707</v>
      </c>
      <c r="O90" s="31">
        <f t="shared" si="66"/>
        <v>4371.557457506676</v>
      </c>
      <c r="P90" s="31">
        <f t="shared" si="67"/>
        <v>13987.432674664651</v>
      </c>
      <c r="Q90" s="4">
        <f t="shared" si="83"/>
        <v>0.11034498768297597</v>
      </c>
      <c r="R90" s="25"/>
      <c r="S90" s="28">
        <f t="shared" si="68"/>
        <v>4.122968576770977</v>
      </c>
      <c r="T90" s="28">
        <f t="shared" si="69"/>
        <v>3.831496699333579</v>
      </c>
      <c r="U90" s="28">
        <f t="shared" si="70"/>
        <v>3.6243589936218377</v>
      </c>
      <c r="V90" s="28">
        <f t="shared" si="71"/>
        <v>3.5164902044469115</v>
      </c>
      <c r="W90" s="28">
        <f t="shared" si="72"/>
        <v>3.517036065634649</v>
      </c>
      <c r="X90" s="28">
        <f t="shared" si="73"/>
        <v>4292.063643500753</v>
      </c>
      <c r="Y90" s="28">
        <f t="shared" si="74"/>
        <v>4158.717380768851</v>
      </c>
      <c r="Z90" s="28">
        <f t="shared" si="75"/>
        <v>4057.3952856592327</v>
      </c>
      <c r="AA90" s="28">
        <f t="shared" si="76"/>
        <v>4002.391419171408</v>
      </c>
      <c r="AB90" s="28">
        <f t="shared" si="77"/>
        <v>4002.6737050123224</v>
      </c>
      <c r="AC90" s="28">
        <f t="shared" si="78"/>
        <v>322.4206328519107</v>
      </c>
      <c r="AD90" s="28">
        <f t="shared" si="79"/>
        <v>282.38694708338386</v>
      </c>
      <c r="AE90" s="28">
        <f t="shared" si="80"/>
        <v>255.53097165262164</v>
      </c>
      <c r="AF90" s="28">
        <f t="shared" si="81"/>
        <v>242.0700441477186</v>
      </c>
      <c r="AG90" s="28">
        <f t="shared" si="82"/>
        <v>242.13725768517503</v>
      </c>
      <c r="AH90" s="25"/>
      <c r="BX90" s="2"/>
    </row>
    <row r="91" spans="1:76" ht="16.5">
      <c r="A91" s="19">
        <v>54</v>
      </c>
      <c r="B91" s="15">
        <v>-0.4787903408554657</v>
      </c>
      <c r="C91" s="11">
        <v>157.24990032700651</v>
      </c>
      <c r="D91" s="4">
        <v>-1.9528091483623131</v>
      </c>
      <c r="E91" s="31">
        <f t="shared" si="56"/>
        <v>2.010647597274081</v>
      </c>
      <c r="F91" s="31">
        <f t="shared" si="57"/>
        <v>0.451369635498907</v>
      </c>
      <c r="G91" s="31">
        <f t="shared" si="58"/>
        <v>148.24407289842708</v>
      </c>
      <c r="H91" s="31">
        <f t="shared" si="59"/>
        <v>1.8409702082133517</v>
      </c>
      <c r="I91" s="31">
        <f t="shared" si="60"/>
        <v>1.8954962029451623</v>
      </c>
      <c r="J91" s="31">
        <f t="shared" si="61"/>
        <v>3.7907951698821356</v>
      </c>
      <c r="K91" s="31">
        <f t="shared" si="62"/>
        <v>25.11351417794147</v>
      </c>
      <c r="L91" s="31">
        <f t="shared" si="63"/>
        <v>566.3942769540187</v>
      </c>
      <c r="M91" s="31">
        <f t="shared" si="64"/>
        <v>43.360030939385496</v>
      </c>
      <c r="N91" s="31">
        <f t="shared" si="65"/>
        <v>9780.24561305898</v>
      </c>
      <c r="O91" s="31">
        <f t="shared" si="66"/>
        <v>4464.078809660137</v>
      </c>
      <c r="P91" s="31">
        <f t="shared" si="67"/>
        <v>14879.192244790464</v>
      </c>
      <c r="Q91" s="4">
        <f t="shared" si="83"/>
        <v>0.11737995979475901</v>
      </c>
      <c r="R91" s="25"/>
      <c r="S91" s="28">
        <f t="shared" si="68"/>
        <v>4.217194642099959</v>
      </c>
      <c r="T91" s="28">
        <f t="shared" si="69"/>
        <v>3.9679433320392272</v>
      </c>
      <c r="U91" s="28">
        <f t="shared" si="70"/>
        <v>3.7907951698821356</v>
      </c>
      <c r="V91" s="28">
        <f t="shared" si="71"/>
        <v>3.6961320120550476</v>
      </c>
      <c r="W91" s="28">
        <f t="shared" si="72"/>
        <v>3.6903070032022622</v>
      </c>
      <c r="X91" s="28">
        <f t="shared" si="73"/>
        <v>4332.938726882035</v>
      </c>
      <c r="Y91" s="28">
        <f t="shared" si="74"/>
        <v>4222.457403868754</v>
      </c>
      <c r="Z91" s="28">
        <f t="shared" si="75"/>
        <v>4139.2467103529625</v>
      </c>
      <c r="AA91" s="28">
        <f t="shared" si="76"/>
        <v>4093.1361081554733</v>
      </c>
      <c r="AB91" s="28">
        <f t="shared" si="77"/>
        <v>4090.2606740909428</v>
      </c>
      <c r="AC91" s="28">
        <f t="shared" si="78"/>
        <v>335.9236349334842</v>
      </c>
      <c r="AD91" s="28">
        <f t="shared" si="79"/>
        <v>300.801357216647</v>
      </c>
      <c r="AE91" s="28">
        <f t="shared" si="80"/>
        <v>277.005304136573</v>
      </c>
      <c r="AF91" s="28">
        <f t="shared" si="81"/>
        <v>264.6865574602543</v>
      </c>
      <c r="AG91" s="28">
        <f t="shared" si="82"/>
        <v>263.93757120356213</v>
      </c>
      <c r="AH91" s="25"/>
      <c r="BX91" s="2"/>
    </row>
    <row r="92" spans="1:76" ht="16.5">
      <c r="A92" s="15">
        <f>J28</f>
        <v>55.21613681534294</v>
      </c>
      <c r="B92" s="15">
        <v>-0.4635021370273096</v>
      </c>
      <c r="C92" s="11">
        <v>140.2893426549694</v>
      </c>
      <c r="D92" s="4">
        <v>-2.0562244163677725</v>
      </c>
      <c r="E92" s="31">
        <f t="shared" si="56"/>
        <v>2.1078171366358776</v>
      </c>
      <c r="F92" s="31">
        <f t="shared" si="57"/>
        <v>0.43695699931869864</v>
      </c>
      <c r="G92" s="31">
        <f t="shared" si="58"/>
        <v>132.2548599151255</v>
      </c>
      <c r="H92" s="31">
        <f t="shared" si="59"/>
        <v>1.938462801195166</v>
      </c>
      <c r="I92" s="31">
        <f t="shared" si="60"/>
        <v>1.9871007651528423</v>
      </c>
      <c r="J92" s="31">
        <f t="shared" si="61"/>
        <v>3.9739947623774876</v>
      </c>
      <c r="K92" s="31">
        <f t="shared" si="62"/>
        <v>23.535325525449444</v>
      </c>
      <c r="L92" s="31">
        <f t="shared" si="63"/>
        <v>519.1654996216583</v>
      </c>
      <c r="M92" s="31">
        <f t="shared" si="64"/>
        <v>48.07408257823597</v>
      </c>
      <c r="N92" s="31">
        <f t="shared" si="65"/>
        <v>10748.397148207658</v>
      </c>
      <c r="O92" s="31">
        <f t="shared" si="66"/>
        <v>4562.789273151678</v>
      </c>
      <c r="P92" s="31">
        <f t="shared" si="67"/>
        <v>15901.96132908468</v>
      </c>
      <c r="Q92" s="4">
        <f>P92*J$31*(A92-A91)</f>
        <v>0.15256247660138966</v>
      </c>
      <c r="R92" s="25"/>
      <c r="S92" s="28">
        <f t="shared" si="68"/>
        <v>4.318736945439371</v>
      </c>
      <c r="T92" s="28">
        <f t="shared" si="69"/>
        <v>4.117904332870512</v>
      </c>
      <c r="U92" s="28">
        <f t="shared" si="70"/>
        <v>3.9739947623774876</v>
      </c>
      <c r="V92" s="28">
        <f t="shared" si="71"/>
        <v>3.8933255237769266</v>
      </c>
      <c r="W92" s="28">
        <f t="shared" si="72"/>
        <v>3.879843280693342</v>
      </c>
      <c r="X92" s="28">
        <f t="shared" si="73"/>
        <v>4375.796075162246</v>
      </c>
      <c r="Y92" s="28">
        <f t="shared" si="74"/>
        <v>4289.836351327794</v>
      </c>
      <c r="Z92" s="28">
        <f t="shared" si="75"/>
        <v>4225.230170184361</v>
      </c>
      <c r="AA92" s="28">
        <f t="shared" si="76"/>
        <v>4187.891094382624</v>
      </c>
      <c r="AB92" s="28">
        <f t="shared" si="77"/>
        <v>4181.570844302517</v>
      </c>
      <c r="AC92" s="28">
        <f t="shared" si="78"/>
        <v>350.78196539977824</v>
      </c>
      <c r="AD92" s="28">
        <f t="shared" si="79"/>
        <v>321.7026673084487</v>
      </c>
      <c r="AE92" s="28">
        <f t="shared" si="80"/>
        <v>301.6313513780853</v>
      </c>
      <c r="AF92" s="28">
        <f t="shared" si="81"/>
        <v>290.65994984786556</v>
      </c>
      <c r="AG92" s="28">
        <f t="shared" si="82"/>
        <v>288.8458964646675</v>
      </c>
      <c r="AH92" s="25"/>
      <c r="BX92" s="2"/>
    </row>
    <row r="93" spans="2:76" ht="16.5">
      <c r="B93" s="15"/>
      <c r="D93" s="4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R93" s="2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30"/>
      <c r="AE93" s="30"/>
      <c r="AF93" s="30"/>
      <c r="AG93" s="30"/>
      <c r="AH93" s="25"/>
      <c r="BX93" s="2"/>
    </row>
    <row r="94" spans="1:76" ht="16.5">
      <c r="A94" s="15">
        <f>I29</f>
        <v>66.20526072708387</v>
      </c>
      <c r="B94" s="15">
        <v>-0.3268494801752908</v>
      </c>
      <c r="C94" s="11">
        <v>103.8678988060364</v>
      </c>
      <c r="D94" s="4">
        <v>-1.4315649793308114</v>
      </c>
      <c r="E94" s="31">
        <f aca="true" t="shared" si="84" ref="E94:E101">SQRT(B94^2+D94^2)</f>
        <v>1.468403511551673</v>
      </c>
      <c r="F94" s="31">
        <f aca="true" t="shared" si="85" ref="F94:F101">-B94*$E$26*(1-$E$30)/$E$27/$E$31</f>
        <v>0.3081305493050113</v>
      </c>
      <c r="G94" s="31">
        <f aca="true" t="shared" si="86" ref="G94:G101">C94*$E$26*(1-$E$30)/$E$27/$E$31</f>
        <v>97.91930125480688</v>
      </c>
      <c r="H94" s="31">
        <f aca="true" t="shared" si="87" ref="H94:H101">-D94*$E$26*(1-$E$30)/$E$27/$E$31</f>
        <v>1.3495781091970882</v>
      </c>
      <c r="I94" s="31">
        <f aca="true" t="shared" si="88" ref="I94:I101">E94*$E$26*(1-$E$30)/$E$27/$E$31</f>
        <v>1.3843068692450367</v>
      </c>
      <c r="J94" s="31">
        <f aca="true" t="shared" si="89" ref="J94:J101">E94*E$26/E$27</f>
        <v>2.768469694328669</v>
      </c>
      <c r="K94" s="31">
        <f aca="true" t="shared" si="90" ref="K94:K101">E$33*E$13/120*E$5*F94^2/E$6*E$3*E$8*(E$8-1)/E$4</f>
        <v>11.703407448903034</v>
      </c>
      <c r="L94" s="31">
        <f aca="true" t="shared" si="91" ref="L94:L101">E$33*E$13/6*F94^2*E$3/E$7/E$4*SQRT(E$5^2+16*E$3^2)*(1+(G94*E$3/F94)^2/15)</f>
        <v>261.50259804806075</v>
      </c>
      <c r="M94" s="31">
        <f aca="true" t="shared" si="92" ref="M94:M101">E$34*E$13*H94^2/8*E$4/E$7/E$3*SQRT(E$5^2+16*E$3^2)</f>
        <v>23.301941773789228</v>
      </c>
      <c r="N94" s="31">
        <f aca="true" t="shared" si="93" ref="N94:N101">E$33*2*E$13*E$14*I94^2/E$12*E$19</f>
        <v>5216.373402095566</v>
      </c>
      <c r="O94" s="31">
        <f aca="true" t="shared" si="94" ref="O94:O101">(X94+AC94+Y94+AD94+Z94+AE94+AA94+AF94+AB94+AG94)/5</f>
        <v>3768.5287243195294</v>
      </c>
      <c r="P94" s="31">
        <f aca="true" t="shared" si="95" ref="P94:P101">SUM(K94:O94)</f>
        <v>9281.410073685849</v>
      </c>
      <c r="Q94" s="4">
        <f>P94*J$31*(A95-A94)</f>
        <v>0.05819065387125867</v>
      </c>
      <c r="R94" s="25"/>
      <c r="S94" s="28">
        <f aca="true" t="shared" si="96" ref="S94:S101">SQRT(($B94-$C94*0.8*$E$3)^2+$D94^2)*$E$26/$E$27</f>
        <v>3.0306194245463236</v>
      </c>
      <c r="T94" s="28">
        <f aca="true" t="shared" si="97" ref="T94:T101">SQRT(($B94-$C94*0.4*$E$3)^2+$D94^2)*$E$26/$E$27</f>
        <v>2.877380008107919</v>
      </c>
      <c r="U94" s="28">
        <f aca="true" t="shared" si="98" ref="U94:U101">SQRT(($B94)^2+$D94^2)*$E$26/$E$27</f>
        <v>2.768469694328669</v>
      </c>
      <c r="V94" s="28">
        <f aca="true" t="shared" si="99" ref="V94:V101">SQRT(($B94+$C94*0.4*$E$3)^2+$D94^2)*$E$26/$E$27</f>
        <v>2.7092398026953863</v>
      </c>
      <c r="W94" s="28">
        <f aca="true" t="shared" si="100" ref="W94:W101">SQRT(($B94+$C94*0.8*$E$3)^2+$D94^2)*$E$26/$E$27</f>
        <v>2.7029582481675725</v>
      </c>
      <c r="X94" s="28">
        <f aca="true" t="shared" si="101" ref="X94:AB101">$E$35*$E$13*$E$14*$E$16/$E$31*2/3*$E$20/PI()*($E$21*$E$22*LN((S94+$E$22)/($E$30*S94+$E$22))+$E$23*S94*(1-$E$30)+$E$24*S94^2/2*(1-$E$30^2))</f>
        <v>3734.480224261479</v>
      </c>
      <c r="Y94" s="28">
        <f t="shared" si="101"/>
        <v>3642.6938830636145</v>
      </c>
      <c r="Z94" s="28">
        <f t="shared" si="101"/>
        <v>3575.1763805234937</v>
      </c>
      <c r="AA94" s="28">
        <f t="shared" si="101"/>
        <v>3537.6325828792283</v>
      </c>
      <c r="AB94" s="28">
        <f t="shared" si="101"/>
        <v>3533.6161331811236</v>
      </c>
      <c r="AC94" s="28">
        <f aca="true" t="shared" si="102" ref="AC94:AG101">1/18/PI()*$E$20/$E$31*S94*$E$25^2*(3*S94+4*$G$22)/($G$21*$G$22*16*$E$13*$E$14*$E$16*$E$3^2*$E$4^2)</f>
        <v>185.89175430521485</v>
      </c>
      <c r="AD94" s="28">
        <f t="shared" si="102"/>
        <v>169.68551764884086</v>
      </c>
      <c r="AE94" s="28">
        <f t="shared" si="102"/>
        <v>158.6081766483376</v>
      </c>
      <c r="AF94" s="28">
        <f t="shared" si="102"/>
        <v>152.73760627814173</v>
      </c>
      <c r="AG94" s="28">
        <f t="shared" si="102"/>
        <v>152.12136280817094</v>
      </c>
      <c r="AH94" s="25"/>
      <c r="BX94" s="2"/>
    </row>
    <row r="95" spans="1:76" ht="16.5">
      <c r="A95" s="19">
        <v>67</v>
      </c>
      <c r="B95" s="15">
        <v>-0.3163960523853646</v>
      </c>
      <c r="C95" s="11">
        <v>116.97068031077002</v>
      </c>
      <c r="D95" s="4">
        <v>-1.5031113978909254</v>
      </c>
      <c r="E95" s="31">
        <f t="shared" si="84"/>
        <v>1.536050238903225</v>
      </c>
      <c r="F95" s="31">
        <f t="shared" si="85"/>
        <v>0.2982757976765162</v>
      </c>
      <c r="G95" s="31">
        <f t="shared" si="86"/>
        <v>110.27167599412681</v>
      </c>
      <c r="H95" s="31">
        <f t="shared" si="87"/>
        <v>1.4170270072033233</v>
      </c>
      <c r="I95" s="31">
        <f t="shared" si="88"/>
        <v>1.4480794144739335</v>
      </c>
      <c r="J95" s="31">
        <f t="shared" si="89"/>
        <v>2.8960081489291953</v>
      </c>
      <c r="K95" s="31">
        <f t="shared" si="90"/>
        <v>10.96677265194085</v>
      </c>
      <c r="L95" s="31">
        <f t="shared" si="91"/>
        <v>256.945464475171</v>
      </c>
      <c r="M95" s="31">
        <f t="shared" si="92"/>
        <v>25.689302782975016</v>
      </c>
      <c r="N95" s="31">
        <f t="shared" si="93"/>
        <v>5708.062022265303</v>
      </c>
      <c r="O95" s="31">
        <f t="shared" si="94"/>
        <v>3867.114969026125</v>
      </c>
      <c r="P95" s="31">
        <f t="shared" si="95"/>
        <v>9868.778531201515</v>
      </c>
      <c r="Q95" s="4">
        <f aca="true" t="shared" si="103" ref="Q95:Q100">P95*J$31</f>
        <v>0.07785347538750938</v>
      </c>
      <c r="R95" s="25"/>
      <c r="S95" s="28">
        <f t="shared" si="96"/>
        <v>3.1855232808572227</v>
      </c>
      <c r="T95" s="28">
        <f t="shared" si="97"/>
        <v>3.0138076983492335</v>
      </c>
      <c r="U95" s="28">
        <f t="shared" si="98"/>
        <v>2.8960081489291953</v>
      </c>
      <c r="V95" s="28">
        <f t="shared" si="99"/>
        <v>2.8388444200041953</v>
      </c>
      <c r="W95" s="28">
        <f t="shared" si="100"/>
        <v>2.8459726227782074</v>
      </c>
      <c r="X95" s="28">
        <f t="shared" si="101"/>
        <v>3823.6049737109993</v>
      </c>
      <c r="Y95" s="28">
        <f t="shared" si="101"/>
        <v>3724.5891936777625</v>
      </c>
      <c r="Z95" s="28">
        <f t="shared" si="101"/>
        <v>3654.049438269079</v>
      </c>
      <c r="AA95" s="28">
        <f t="shared" si="101"/>
        <v>3619.0256213801117</v>
      </c>
      <c r="AB95" s="28">
        <f t="shared" si="101"/>
        <v>3623.4218258755986</v>
      </c>
      <c r="AC95" s="28">
        <f t="shared" si="102"/>
        <v>203.01089314228156</v>
      </c>
      <c r="AD95" s="28">
        <f t="shared" si="102"/>
        <v>184.07837870527797</v>
      </c>
      <c r="AE95" s="28">
        <f t="shared" si="102"/>
        <v>171.61687497594647</v>
      </c>
      <c r="AF95" s="28">
        <f t="shared" si="102"/>
        <v>165.72417153194814</v>
      </c>
      <c r="AG95" s="28">
        <f t="shared" si="102"/>
        <v>166.45347386162075</v>
      </c>
      <c r="AH95" s="25"/>
      <c r="BX95" s="2"/>
    </row>
    <row r="96" spans="1:76" ht="16.5">
      <c r="A96" s="19">
        <v>68</v>
      </c>
      <c r="B96" s="15">
        <v>-0.3060447855019479</v>
      </c>
      <c r="C96" s="11">
        <v>124.38540401609183</v>
      </c>
      <c r="D96" s="4">
        <v>-1.6262178333673354</v>
      </c>
      <c r="E96" s="31">
        <f t="shared" si="84"/>
        <v>1.6547651955171416</v>
      </c>
      <c r="F96" s="31">
        <f t="shared" si="85"/>
        <v>0.28851735611779206</v>
      </c>
      <c r="G96" s="31">
        <f t="shared" si="86"/>
        <v>117.26175254875494</v>
      </c>
      <c r="H96" s="31">
        <f t="shared" si="87"/>
        <v>1.5330830387625127</v>
      </c>
      <c r="I96" s="31">
        <f t="shared" si="88"/>
        <v>1.5599954706737134</v>
      </c>
      <c r="J96" s="31">
        <f t="shared" si="89"/>
        <v>3.1198286158946242</v>
      </c>
      <c r="K96" s="31">
        <f t="shared" si="90"/>
        <v>10.260929326142143</v>
      </c>
      <c r="L96" s="31">
        <f t="shared" si="91"/>
        <v>249.30374793734788</v>
      </c>
      <c r="M96" s="31">
        <f t="shared" si="92"/>
        <v>30.06958401601369</v>
      </c>
      <c r="N96" s="31">
        <f t="shared" si="93"/>
        <v>6624.4617790313205</v>
      </c>
      <c r="O96" s="31">
        <f t="shared" si="94"/>
        <v>4024.2232714781576</v>
      </c>
      <c r="P96" s="31">
        <f t="shared" si="95"/>
        <v>10938.319311788982</v>
      </c>
      <c r="Q96" s="4">
        <f t="shared" si="103"/>
        <v>0.08629093971748115</v>
      </c>
      <c r="R96" s="25"/>
      <c r="S96" s="28">
        <f t="shared" si="96"/>
        <v>3.4087636839762387</v>
      </c>
      <c r="T96" s="28">
        <f t="shared" si="97"/>
        <v>3.2354654517141097</v>
      </c>
      <c r="U96" s="28">
        <f t="shared" si="98"/>
        <v>3.1198286158946242</v>
      </c>
      <c r="V96" s="28">
        <f t="shared" si="99"/>
        <v>3.068379305619401</v>
      </c>
      <c r="W96" s="28">
        <f t="shared" si="100"/>
        <v>3.084331305328738</v>
      </c>
      <c r="X96" s="28">
        <f t="shared" si="101"/>
        <v>3945.8845788416365</v>
      </c>
      <c r="Y96" s="28">
        <f t="shared" si="101"/>
        <v>3851.5814106437665</v>
      </c>
      <c r="Z96" s="28">
        <f t="shared" si="101"/>
        <v>3786.246010818411</v>
      </c>
      <c r="AA96" s="28">
        <f t="shared" si="101"/>
        <v>3756.5383560679365</v>
      </c>
      <c r="AB96" s="28">
        <f t="shared" si="101"/>
        <v>3765.791939670787</v>
      </c>
      <c r="AC96" s="28">
        <f t="shared" si="102"/>
        <v>228.985412982537</v>
      </c>
      <c r="AD96" s="28">
        <f t="shared" si="102"/>
        <v>208.6881658884851</v>
      </c>
      <c r="AE96" s="28">
        <f t="shared" si="102"/>
        <v>195.6602001308338</v>
      </c>
      <c r="AF96" s="28">
        <f t="shared" si="102"/>
        <v>189.99648707845964</v>
      </c>
      <c r="AG96" s="28">
        <f t="shared" si="102"/>
        <v>191.74379526793555</v>
      </c>
      <c r="AH96" s="25"/>
      <c r="BX96" s="2"/>
    </row>
    <row r="97" spans="1:76" ht="16.5">
      <c r="A97" s="19">
        <v>69</v>
      </c>
      <c r="B97" s="15">
        <v>-0.29536781640040477</v>
      </c>
      <c r="C97" s="11">
        <v>126.9506343646594</v>
      </c>
      <c r="D97" s="4">
        <v>-1.7448986966969309</v>
      </c>
      <c r="E97" s="31">
        <f t="shared" si="84"/>
        <v>1.7697213364537907</v>
      </c>
      <c r="F97" s="31">
        <f t="shared" si="85"/>
        <v>0.2784518655671975</v>
      </c>
      <c r="G97" s="31">
        <f t="shared" si="86"/>
        <v>119.68007010573594</v>
      </c>
      <c r="H97" s="31">
        <f t="shared" si="87"/>
        <v>1.644966954227604</v>
      </c>
      <c r="I97" s="31">
        <f t="shared" si="88"/>
        <v>1.6683679815732175</v>
      </c>
      <c r="J97" s="31">
        <f t="shared" si="89"/>
        <v>3.3365623609833897</v>
      </c>
      <c r="K97" s="31">
        <f t="shared" si="90"/>
        <v>9.55747284094451</v>
      </c>
      <c r="L97" s="31">
        <f t="shared" si="91"/>
        <v>237.8939357814022</v>
      </c>
      <c r="M97" s="31">
        <f t="shared" si="92"/>
        <v>34.618673119666596</v>
      </c>
      <c r="N97" s="31">
        <f t="shared" si="93"/>
        <v>7576.831285988909</v>
      </c>
      <c r="O97" s="31">
        <f t="shared" si="94"/>
        <v>4167.677588674624</v>
      </c>
      <c r="P97" s="31">
        <f t="shared" si="95"/>
        <v>12026.578956405545</v>
      </c>
      <c r="Q97" s="4">
        <f t="shared" si="103"/>
        <v>0.09487607466498311</v>
      </c>
      <c r="R97" s="25"/>
      <c r="S97" s="28">
        <f t="shared" si="96"/>
        <v>3.6108061352899727</v>
      </c>
      <c r="T97" s="28">
        <f t="shared" si="97"/>
        <v>3.445046068934807</v>
      </c>
      <c r="U97" s="28">
        <f t="shared" si="98"/>
        <v>3.3365623609833897</v>
      </c>
      <c r="V97" s="28">
        <f t="shared" si="99"/>
        <v>3.291023983745995</v>
      </c>
      <c r="W97" s="28">
        <f t="shared" si="100"/>
        <v>3.3110291203286164</v>
      </c>
      <c r="X97" s="28">
        <f t="shared" si="101"/>
        <v>4050.5699669130277</v>
      </c>
      <c r="Y97" s="28">
        <f t="shared" si="101"/>
        <v>3965.0942653403827</v>
      </c>
      <c r="Z97" s="28">
        <f t="shared" si="101"/>
        <v>3907.1119940479293</v>
      </c>
      <c r="AA97" s="28">
        <f t="shared" si="101"/>
        <v>3882.2795475721846</v>
      </c>
      <c r="AB97" s="28">
        <f t="shared" si="101"/>
        <v>3893.224807885701</v>
      </c>
      <c r="AC97" s="28">
        <f t="shared" si="102"/>
        <v>253.81997973206018</v>
      </c>
      <c r="AD97" s="28">
        <f t="shared" si="102"/>
        <v>233.3523113358446</v>
      </c>
      <c r="AE97" s="28">
        <f t="shared" si="102"/>
        <v>220.41627758578173</v>
      </c>
      <c r="AF97" s="28">
        <f t="shared" si="102"/>
        <v>215.09437609294312</v>
      </c>
      <c r="AG97" s="28">
        <f t="shared" si="102"/>
        <v>217.42441686726357</v>
      </c>
      <c r="AH97" s="25"/>
      <c r="BX97" s="2"/>
    </row>
    <row r="98" spans="1:76" ht="16.5">
      <c r="A98" s="19">
        <v>70</v>
      </c>
      <c r="B98" s="15">
        <v>-0.2833675986125561</v>
      </c>
      <c r="C98" s="11">
        <v>125.64999275201042</v>
      </c>
      <c r="D98" s="4">
        <v>-1.8630264814476016</v>
      </c>
      <c r="E98" s="31">
        <f t="shared" si="84"/>
        <v>1.8844534662650807</v>
      </c>
      <c r="F98" s="31">
        <f t="shared" si="85"/>
        <v>0.26713890983978894</v>
      </c>
      <c r="G98" s="31">
        <f t="shared" si="86"/>
        <v>118.45391727740788</v>
      </c>
      <c r="H98" s="31">
        <f t="shared" si="87"/>
        <v>1.7563294663658748</v>
      </c>
      <c r="I98" s="31">
        <f t="shared" si="88"/>
        <v>1.7765293106434885</v>
      </c>
      <c r="J98" s="31">
        <f t="shared" si="89"/>
        <v>3.5528737643882304</v>
      </c>
      <c r="K98" s="31">
        <f t="shared" si="90"/>
        <v>8.796645842979023</v>
      </c>
      <c r="L98" s="31">
        <f t="shared" si="91"/>
        <v>222.13592960943149</v>
      </c>
      <c r="M98" s="31">
        <f t="shared" si="92"/>
        <v>39.46463020374566</v>
      </c>
      <c r="N98" s="31">
        <f t="shared" si="93"/>
        <v>8591.09810296206</v>
      </c>
      <c r="O98" s="31">
        <f t="shared" si="94"/>
        <v>4303.690101314069</v>
      </c>
      <c r="P98" s="31">
        <f t="shared" si="95"/>
        <v>13165.185409932285</v>
      </c>
      <c r="Q98" s="4">
        <f t="shared" si="103"/>
        <v>0.10385838886176457</v>
      </c>
      <c r="R98" s="25"/>
      <c r="S98" s="28">
        <f t="shared" si="96"/>
        <v>3.8023867797343316</v>
      </c>
      <c r="T98" s="28">
        <f t="shared" si="97"/>
        <v>3.650754557555209</v>
      </c>
      <c r="U98" s="28">
        <f t="shared" si="98"/>
        <v>3.5528737643882304</v>
      </c>
      <c r="V98" s="28">
        <f t="shared" si="99"/>
        <v>3.513239909428707</v>
      </c>
      <c r="W98" s="28">
        <f t="shared" si="100"/>
        <v>3.5338133603917763</v>
      </c>
      <c r="X98" s="28">
        <f t="shared" si="101"/>
        <v>4144.813476533164</v>
      </c>
      <c r="Y98" s="28">
        <f t="shared" si="101"/>
        <v>4070.618411544689</v>
      </c>
      <c r="Z98" s="28">
        <f t="shared" si="101"/>
        <v>4021.1185535424156</v>
      </c>
      <c r="AA98" s="28">
        <f t="shared" si="101"/>
        <v>4000.7097294176615</v>
      </c>
      <c r="AB98" s="28">
        <f t="shared" si="101"/>
        <v>4011.3302028835697</v>
      </c>
      <c r="AC98" s="28">
        <f t="shared" si="102"/>
        <v>278.53276237804033</v>
      </c>
      <c r="AD98" s="28">
        <f t="shared" si="102"/>
        <v>258.87957998469045</v>
      </c>
      <c r="AE98" s="28">
        <f t="shared" si="102"/>
        <v>246.57019091457</v>
      </c>
      <c r="AF98" s="28">
        <f t="shared" si="102"/>
        <v>241.67001597922416</v>
      </c>
      <c r="AG98" s="28">
        <f t="shared" si="102"/>
        <v>244.20758339231628</v>
      </c>
      <c r="AH98" s="25"/>
      <c r="BX98" s="2"/>
    </row>
    <row r="99" spans="1:76" ht="16.5">
      <c r="A99" s="19">
        <v>71</v>
      </c>
      <c r="B99" s="15">
        <v>-0.2699889150048618</v>
      </c>
      <c r="C99" s="11">
        <v>120.61920848467275</v>
      </c>
      <c r="D99" s="4">
        <v>-1.9834856507491039</v>
      </c>
      <c r="E99" s="31">
        <f t="shared" si="84"/>
        <v>2.0017765462091663</v>
      </c>
      <c r="F99" s="31">
        <f t="shared" si="85"/>
        <v>0.2545264341313804</v>
      </c>
      <c r="G99" s="31">
        <f t="shared" si="86"/>
        <v>113.71125004447113</v>
      </c>
      <c r="H99" s="31">
        <f t="shared" si="87"/>
        <v>1.869889842799061</v>
      </c>
      <c r="I99" s="31">
        <f t="shared" si="88"/>
        <v>1.887133204062377</v>
      </c>
      <c r="J99" s="31">
        <f t="shared" si="89"/>
        <v>3.774070042329079</v>
      </c>
      <c r="K99" s="31">
        <f t="shared" si="90"/>
        <v>7.985619169895209</v>
      </c>
      <c r="L99" s="31">
        <f t="shared" si="91"/>
        <v>202.37746360058898</v>
      </c>
      <c r="M99" s="31">
        <f t="shared" si="92"/>
        <v>44.73300850028953</v>
      </c>
      <c r="N99" s="31">
        <f t="shared" si="93"/>
        <v>9694.134390097768</v>
      </c>
      <c r="O99" s="31">
        <f t="shared" si="94"/>
        <v>4436.423410633944</v>
      </c>
      <c r="P99" s="31">
        <f t="shared" si="95"/>
        <v>14385.653892002487</v>
      </c>
      <c r="Q99" s="4">
        <f t="shared" si="103"/>
        <v>0.11348650166515474</v>
      </c>
      <c r="R99" s="25"/>
      <c r="S99" s="28">
        <f t="shared" si="96"/>
        <v>3.990994349846246</v>
      </c>
      <c r="T99" s="28">
        <f t="shared" si="97"/>
        <v>3.8587533756996217</v>
      </c>
      <c r="U99" s="28">
        <f t="shared" si="98"/>
        <v>3.774070042329079</v>
      </c>
      <c r="V99" s="28">
        <f t="shared" si="99"/>
        <v>3.7401760801200803</v>
      </c>
      <c r="W99" s="28">
        <f t="shared" si="100"/>
        <v>3.7584458080652197</v>
      </c>
      <c r="X99" s="28">
        <f t="shared" si="101"/>
        <v>4232.995011152213</v>
      </c>
      <c r="Y99" s="28">
        <f t="shared" si="101"/>
        <v>4171.638126049394</v>
      </c>
      <c r="Z99" s="28">
        <f t="shared" si="101"/>
        <v>4131.184185006317</v>
      </c>
      <c r="AA99" s="28">
        <f t="shared" si="101"/>
        <v>4114.734569752332</v>
      </c>
      <c r="AB99" s="28">
        <f t="shared" si="101"/>
        <v>4123.619790464577</v>
      </c>
      <c r="AC99" s="28">
        <f t="shared" si="102"/>
        <v>303.96900787623383</v>
      </c>
      <c r="AD99" s="28">
        <f t="shared" si="102"/>
        <v>286.0194781445165</v>
      </c>
      <c r="AE99" s="28">
        <f t="shared" si="102"/>
        <v>274.80869942796454</v>
      </c>
      <c r="AF99" s="28">
        <f t="shared" si="102"/>
        <v>270.3837014211746</v>
      </c>
      <c r="AG99" s="28">
        <f t="shared" si="102"/>
        <v>272.76448387498937</v>
      </c>
      <c r="AH99" s="25"/>
      <c r="BX99" s="2"/>
    </row>
    <row r="100" spans="1:76" ht="16.5">
      <c r="A100" s="19">
        <v>72</v>
      </c>
      <c r="B100" s="15">
        <v>-0.25583793143957845</v>
      </c>
      <c r="C100" s="11">
        <v>111.28668841819632</v>
      </c>
      <c r="D100" s="4">
        <v>-2.108555433516901</v>
      </c>
      <c r="E100" s="31">
        <f t="shared" si="84"/>
        <v>2.1240195534356383</v>
      </c>
      <c r="F100" s="31">
        <f t="shared" si="85"/>
        <v>0.2411858887009931</v>
      </c>
      <c r="G100" s="31">
        <f t="shared" si="86"/>
        <v>104.91321085854</v>
      </c>
      <c r="H100" s="31">
        <f t="shared" si="87"/>
        <v>1.9877967791816176</v>
      </c>
      <c r="I100" s="31">
        <f t="shared" si="88"/>
        <v>2.002375256597349</v>
      </c>
      <c r="J100" s="31">
        <f t="shared" si="89"/>
        <v>4.004542155878078</v>
      </c>
      <c r="K100" s="31">
        <f t="shared" si="90"/>
        <v>7.1704530709230605</v>
      </c>
      <c r="L100" s="31">
        <f t="shared" si="91"/>
        <v>179.45643708952494</v>
      </c>
      <c r="M100" s="31">
        <f t="shared" si="92"/>
        <v>50.552196155732695</v>
      </c>
      <c r="N100" s="31">
        <f t="shared" si="93"/>
        <v>10914.274289654933</v>
      </c>
      <c r="O100" s="31">
        <f t="shared" si="94"/>
        <v>4568.752668421017</v>
      </c>
      <c r="P100" s="31">
        <f t="shared" si="95"/>
        <v>15720.206044392131</v>
      </c>
      <c r="Q100" s="4">
        <f t="shared" si="103"/>
        <v>0.12401460530239031</v>
      </c>
      <c r="R100" s="25"/>
      <c r="S100" s="28">
        <f t="shared" si="96"/>
        <v>4.182220354190608</v>
      </c>
      <c r="T100" s="28">
        <f t="shared" si="97"/>
        <v>4.073935787457807</v>
      </c>
      <c r="U100" s="28">
        <f t="shared" si="98"/>
        <v>4.004542155878078</v>
      </c>
      <c r="V100" s="28">
        <f t="shared" si="99"/>
        <v>3.976076247336285</v>
      </c>
      <c r="W100" s="28">
        <f t="shared" si="100"/>
        <v>3.9894142602155136</v>
      </c>
      <c r="X100" s="28">
        <f t="shared" si="101"/>
        <v>4317.8919737348115</v>
      </c>
      <c r="Y100" s="28">
        <f t="shared" si="101"/>
        <v>4270.367236481348</v>
      </c>
      <c r="Z100" s="28">
        <f t="shared" si="101"/>
        <v>4239.157504900894</v>
      </c>
      <c r="AA100" s="28">
        <f t="shared" si="101"/>
        <v>4226.182853140429</v>
      </c>
      <c r="AB100" s="28">
        <f t="shared" si="101"/>
        <v>4232.274792866762</v>
      </c>
      <c r="AC100" s="28">
        <f t="shared" si="102"/>
        <v>330.8796773395943</v>
      </c>
      <c r="AD100" s="28">
        <f t="shared" si="102"/>
        <v>315.5024617565327</v>
      </c>
      <c r="AE100" s="28">
        <f t="shared" si="102"/>
        <v>305.8383899721103</v>
      </c>
      <c r="AF100" s="28">
        <f t="shared" si="102"/>
        <v>301.91710230304903</v>
      </c>
      <c r="AG100" s="28">
        <f t="shared" si="102"/>
        <v>303.75134960955296</v>
      </c>
      <c r="AH100" s="25"/>
      <c r="BX100" s="2"/>
    </row>
    <row r="101" spans="1:76" ht="16.5">
      <c r="A101" s="15">
        <f>J29</f>
        <v>73.17120452647318</v>
      </c>
      <c r="B101" s="15">
        <v>-0.24045827362357386</v>
      </c>
      <c r="C101" s="11">
        <v>96.65180988093557</v>
      </c>
      <c r="D101" s="4">
        <v>-2.240046943380341</v>
      </c>
      <c r="E101" s="31">
        <f t="shared" si="84"/>
        <v>2.252915997080592</v>
      </c>
      <c r="F101" s="31">
        <f t="shared" si="85"/>
        <v>0.22668703617588862</v>
      </c>
      <c r="G101" s="31">
        <f t="shared" si="86"/>
        <v>91.11648350783462</v>
      </c>
      <c r="H101" s="31">
        <f t="shared" si="87"/>
        <v>2.1117576652183274</v>
      </c>
      <c r="I101" s="31">
        <f t="shared" si="88"/>
        <v>2.123889697931267</v>
      </c>
      <c r="J101" s="31">
        <f t="shared" si="89"/>
        <v>4.2475583943510555</v>
      </c>
      <c r="K101" s="31">
        <f t="shared" si="90"/>
        <v>6.334264253840698</v>
      </c>
      <c r="L101" s="31">
        <f t="shared" si="91"/>
        <v>153.20220958481568</v>
      </c>
      <c r="M101" s="31">
        <f t="shared" si="92"/>
        <v>57.05375342833701</v>
      </c>
      <c r="N101" s="31">
        <f t="shared" si="93"/>
        <v>12279.13687822679</v>
      </c>
      <c r="O101" s="31">
        <f t="shared" si="94"/>
        <v>4702.625588718547</v>
      </c>
      <c r="P101" s="31">
        <f t="shared" si="95"/>
        <v>17198.352694212328</v>
      </c>
      <c r="Q101" s="4">
        <f>P101*J$31*(A101-A100)</f>
        <v>0.15890376763242786</v>
      </c>
      <c r="S101" s="28">
        <f t="shared" si="96"/>
        <v>4.380385985675709</v>
      </c>
      <c r="T101" s="28">
        <f t="shared" si="97"/>
        <v>4.299886137147538</v>
      </c>
      <c r="U101" s="28">
        <f t="shared" si="98"/>
        <v>4.2475583943510555</v>
      </c>
      <c r="V101" s="28">
        <f t="shared" si="99"/>
        <v>4.224449780322853</v>
      </c>
      <c r="W101" s="28">
        <f t="shared" si="100"/>
        <v>4.231039079419691</v>
      </c>
      <c r="X101" s="28">
        <f t="shared" si="101"/>
        <v>4401.220107713246</v>
      </c>
      <c r="Y101" s="28">
        <f t="shared" si="101"/>
        <v>4367.932482036365</v>
      </c>
      <c r="Z101" s="28">
        <f t="shared" si="101"/>
        <v>4345.882948180319</v>
      </c>
      <c r="AA101" s="28">
        <f t="shared" si="101"/>
        <v>4336.041662851124</v>
      </c>
      <c r="AB101" s="28">
        <f t="shared" si="101"/>
        <v>4338.854363495068</v>
      </c>
      <c r="AC101" s="28">
        <f t="shared" si="102"/>
        <v>359.9581650990865</v>
      </c>
      <c r="AD101" s="28">
        <f t="shared" si="102"/>
        <v>347.9995283811438</v>
      </c>
      <c r="AE101" s="28">
        <f t="shared" si="102"/>
        <v>340.3332923001603</v>
      </c>
      <c r="AF101" s="28">
        <f t="shared" si="102"/>
        <v>336.97469363884187</v>
      </c>
      <c r="AG101" s="28">
        <f t="shared" si="102"/>
        <v>337.93069989737893</v>
      </c>
      <c r="AH101" s="25"/>
      <c r="BX101" s="2"/>
    </row>
    <row r="102" spans="2:34" ht="16.5">
      <c r="B102" s="15"/>
      <c r="D102" s="2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5"/>
      <c r="AE102" s="25"/>
      <c r="AF102" s="25"/>
      <c r="AG102" s="25"/>
      <c r="AH102" s="25"/>
    </row>
    <row r="103" spans="1:34" ht="16.5">
      <c r="A103" s="2" t="s">
        <v>60</v>
      </c>
      <c r="B103" s="15"/>
      <c r="D103" s="2"/>
      <c r="E103" s="31"/>
      <c r="F103" s="31"/>
      <c r="G103" s="31"/>
      <c r="H103" s="31"/>
      <c r="I103" s="31"/>
      <c r="J103" s="31"/>
      <c r="K103" s="31">
        <f aca="true" t="shared" si="104" ref="K103:Q103">SUM(K40:K101)</f>
        <v>2873.9705908454744</v>
      </c>
      <c r="L103" s="31">
        <f t="shared" si="104"/>
        <v>63996.53942156042</v>
      </c>
      <c r="M103" s="31">
        <f t="shared" si="104"/>
        <v>925.6712306863527</v>
      </c>
      <c r="N103" s="31">
        <f t="shared" si="104"/>
        <v>260420.25664241918</v>
      </c>
      <c r="O103" s="31">
        <f t="shared" si="104"/>
        <v>206530.80839205973</v>
      </c>
      <c r="P103" s="31">
        <f t="shared" si="104"/>
        <v>534747.2462775712</v>
      </c>
      <c r="Q103" s="4">
        <f t="shared" si="104"/>
        <v>4.291243237339415</v>
      </c>
      <c r="R103" s="25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>
        <f>SUM(AC40:AC101)/59</f>
        <v>247.60353240442305</v>
      </c>
      <c r="AD103" s="23">
        <f>SUM(AD40:AD101)/59</f>
        <v>181.97868558722928</v>
      </c>
      <c r="AE103" s="23">
        <f>SUM(AE40:AE101)/59</f>
        <v>135.5216232788151</v>
      </c>
      <c r="AF103" s="23">
        <f>SUM(AF40:AF101)/59</f>
        <v>109.03358305990207</v>
      </c>
      <c r="AG103" s="23">
        <f>SUM(AG40:AG101)/59</f>
        <v>105.29872528447207</v>
      </c>
      <c r="AH103" s="25"/>
    </row>
    <row r="104" spans="1:76" ht="16.5">
      <c r="A104" s="2" t="s">
        <v>61</v>
      </c>
      <c r="B104" s="15"/>
      <c r="D104" s="2"/>
      <c r="E104" s="31"/>
      <c r="F104" s="31"/>
      <c r="G104" s="31"/>
      <c r="H104" s="31"/>
      <c r="I104" s="31"/>
      <c r="J104" s="31"/>
      <c r="K104" s="31">
        <f aca="true" t="shared" si="105" ref="K104:P104">K103/$P$103</f>
        <v>0.005374446733202405</v>
      </c>
      <c r="L104" s="31">
        <f t="shared" si="105"/>
        <v>0.11967623932062614</v>
      </c>
      <c r="M104" s="31">
        <f t="shared" si="105"/>
        <v>0.001731044408606201</v>
      </c>
      <c r="N104" s="31">
        <f t="shared" si="105"/>
        <v>0.48699691013881885</v>
      </c>
      <c r="O104" s="31">
        <f t="shared" si="105"/>
        <v>0.3862213593987463</v>
      </c>
      <c r="P104" s="31">
        <f t="shared" si="105"/>
        <v>1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5"/>
      <c r="AE104" s="25"/>
      <c r="AF104" s="25"/>
      <c r="AG104" s="25"/>
      <c r="AH104" s="25"/>
      <c r="BX104" s="2"/>
    </row>
    <row r="105" spans="2:18" ht="16.5">
      <c r="B105" s="15"/>
      <c r="E105" s="32"/>
      <c r="F105" s="32"/>
      <c r="G105" s="32"/>
      <c r="H105" s="32"/>
      <c r="I105" s="32"/>
      <c r="J105" s="31"/>
      <c r="K105" s="31"/>
      <c r="L105" s="31"/>
      <c r="M105" s="31"/>
      <c r="N105" s="31"/>
      <c r="O105" s="31"/>
      <c r="P105" s="31"/>
      <c r="Q105" s="2"/>
      <c r="R105"/>
    </row>
    <row r="106" spans="2:76" ht="16.5">
      <c r="B106" s="15"/>
      <c r="E106" s="32"/>
      <c r="F106" s="32"/>
      <c r="G106" s="32"/>
      <c r="H106" s="32"/>
      <c r="I106" s="32"/>
      <c r="J106" s="32"/>
      <c r="K106" s="31"/>
      <c r="L106" s="31"/>
      <c r="M106" s="31"/>
      <c r="N106" s="31"/>
      <c r="O106" s="31" t="s">
        <v>83</v>
      </c>
      <c r="P106" s="35">
        <f>MAX(P40:P101)</f>
        <v>17198.352694212328</v>
      </c>
      <c r="Q106" s="12" t="s">
        <v>156</v>
      </c>
      <c r="R106"/>
      <c r="BX106" s="2"/>
    </row>
    <row r="107" spans="2:76" ht="16.5">
      <c r="B107" s="15"/>
      <c r="E107" s="32"/>
      <c r="F107" s="32"/>
      <c r="G107" s="32"/>
      <c r="H107" s="32"/>
      <c r="I107" s="32"/>
      <c r="J107" s="31"/>
      <c r="K107" s="31"/>
      <c r="L107" s="31"/>
      <c r="M107" s="31"/>
      <c r="N107" s="31"/>
      <c r="O107" s="31"/>
      <c r="P107" s="31"/>
      <c r="Q107" s="2"/>
      <c r="R107"/>
      <c r="BX107" s="2"/>
    </row>
    <row r="108" spans="2:76" ht="16.5">
      <c r="B108" s="15"/>
      <c r="E108" s="32"/>
      <c r="F108" s="32"/>
      <c r="G108" s="32"/>
      <c r="H108" s="32"/>
      <c r="I108" s="32"/>
      <c r="J108" s="31"/>
      <c r="K108" s="31"/>
      <c r="L108" s="31"/>
      <c r="M108" s="31"/>
      <c r="N108" s="31"/>
      <c r="O108" s="31"/>
      <c r="P108" s="31"/>
      <c r="Q108" s="2"/>
      <c r="R108"/>
      <c r="BX108" s="2"/>
    </row>
    <row r="109" spans="2:76" ht="16.5">
      <c r="B109" s="15"/>
      <c r="E109" s="32"/>
      <c r="F109" s="32"/>
      <c r="G109" s="32"/>
      <c r="H109" s="32"/>
      <c r="I109" s="32"/>
      <c r="J109" s="31"/>
      <c r="K109" s="31"/>
      <c r="L109" s="31"/>
      <c r="M109" s="31"/>
      <c r="N109" s="31"/>
      <c r="O109" s="31"/>
      <c r="P109" s="31"/>
      <c r="Q109" s="2"/>
      <c r="R109"/>
      <c r="BX109" s="2"/>
    </row>
    <row r="110" spans="2:76" ht="16.5">
      <c r="B110" s="15"/>
      <c r="E110" s="32"/>
      <c r="F110" s="32"/>
      <c r="G110" s="32"/>
      <c r="H110" s="32"/>
      <c r="I110" s="32"/>
      <c r="J110" s="31"/>
      <c r="K110" s="31"/>
      <c r="L110" s="31"/>
      <c r="M110" s="31"/>
      <c r="N110" s="31"/>
      <c r="O110" s="31"/>
      <c r="P110" s="31"/>
      <c r="Q110" s="2"/>
      <c r="R110"/>
      <c r="BX110" s="2"/>
    </row>
    <row r="111" spans="2:76" ht="16.5">
      <c r="B111" s="4"/>
      <c r="E111" s="32"/>
      <c r="F111" s="32"/>
      <c r="G111" s="32"/>
      <c r="H111" s="32"/>
      <c r="I111" s="32"/>
      <c r="J111" s="31"/>
      <c r="K111" s="31"/>
      <c r="L111" s="31"/>
      <c r="M111" s="31"/>
      <c r="N111" s="31"/>
      <c r="O111" s="31"/>
      <c r="P111" s="31"/>
      <c r="Q111" s="2"/>
      <c r="R111"/>
      <c r="BX111" s="2"/>
    </row>
    <row r="112" spans="2:76" ht="16.5">
      <c r="B112" s="4"/>
      <c r="E112" s="32"/>
      <c r="F112" s="32"/>
      <c r="G112" s="32"/>
      <c r="H112" s="32"/>
      <c r="I112" s="32"/>
      <c r="J112" s="31"/>
      <c r="K112" s="31"/>
      <c r="L112" s="31"/>
      <c r="M112" s="31"/>
      <c r="N112" s="31"/>
      <c r="O112" s="31"/>
      <c r="P112" s="31"/>
      <c r="Q112" s="2"/>
      <c r="R112"/>
      <c r="BX112" s="2"/>
    </row>
    <row r="113" spans="2:76" ht="16.5">
      <c r="B113" s="4"/>
      <c r="E113" s="32"/>
      <c r="F113" s="32"/>
      <c r="G113" s="32"/>
      <c r="H113" s="32"/>
      <c r="I113" s="32"/>
      <c r="J113" s="31"/>
      <c r="K113" s="31"/>
      <c r="L113" s="31"/>
      <c r="M113" s="31"/>
      <c r="N113" s="31"/>
      <c r="O113" s="31"/>
      <c r="P113" s="31"/>
      <c r="Q113" s="2"/>
      <c r="R113"/>
      <c r="BX113" s="2"/>
    </row>
    <row r="114" spans="2:76" ht="16.5">
      <c r="B114" s="4"/>
      <c r="E114" s="32"/>
      <c r="F114" s="32"/>
      <c r="G114" s="32"/>
      <c r="H114" s="32"/>
      <c r="I114" s="32"/>
      <c r="J114" s="31"/>
      <c r="K114" s="31"/>
      <c r="L114" s="31"/>
      <c r="M114" s="31"/>
      <c r="N114" s="31"/>
      <c r="O114" s="31"/>
      <c r="P114" s="31"/>
      <c r="Q114" s="2"/>
      <c r="R114"/>
      <c r="BX114" s="2"/>
    </row>
    <row r="115" spans="2:18" ht="16.5">
      <c r="B115" s="4"/>
      <c r="E115" s="32"/>
      <c r="F115" s="32"/>
      <c r="G115" s="32"/>
      <c r="H115" s="32"/>
      <c r="I115" s="32"/>
      <c r="J115" s="31"/>
      <c r="K115" s="31"/>
      <c r="L115" s="31"/>
      <c r="M115" s="31"/>
      <c r="N115" s="31"/>
      <c r="O115" s="31"/>
      <c r="P115" s="31"/>
      <c r="Q115" s="2"/>
      <c r="R115"/>
    </row>
    <row r="116" spans="2:16" ht="16.5">
      <c r="B116" s="4"/>
      <c r="E116" s="32"/>
      <c r="F116" s="32"/>
      <c r="G116" s="32"/>
      <c r="H116" s="32"/>
      <c r="I116" s="32"/>
      <c r="J116" s="31"/>
      <c r="K116" s="31"/>
      <c r="L116" s="31"/>
      <c r="M116" s="31"/>
      <c r="N116" s="31"/>
      <c r="O116" s="31"/>
      <c r="P116" s="31"/>
    </row>
    <row r="117" spans="2:16" ht="16.5">
      <c r="B117" s="4"/>
      <c r="E117" s="32"/>
      <c r="F117" s="32"/>
      <c r="G117" s="32"/>
      <c r="H117" s="32"/>
      <c r="I117" s="32"/>
      <c r="J117" s="31"/>
      <c r="K117" s="31"/>
      <c r="L117" s="31"/>
      <c r="M117" s="31"/>
      <c r="N117" s="31"/>
      <c r="O117" s="31"/>
      <c r="P117" s="31"/>
    </row>
    <row r="118" spans="2:16" ht="16.5">
      <c r="B118" s="4"/>
      <c r="E118" s="32"/>
      <c r="F118" s="32"/>
      <c r="G118" s="32"/>
      <c r="H118" s="32"/>
      <c r="I118" s="32"/>
      <c r="J118" s="31"/>
      <c r="K118" s="31"/>
      <c r="L118" s="31"/>
      <c r="M118" s="31"/>
      <c r="N118" s="31"/>
      <c r="O118" s="31"/>
      <c r="P118" s="31"/>
    </row>
    <row r="119" spans="2:16" ht="16.5">
      <c r="B119" s="4"/>
      <c r="E119" s="32"/>
      <c r="F119" s="32"/>
      <c r="G119" s="32"/>
      <c r="H119" s="32"/>
      <c r="I119" s="32"/>
      <c r="J119" s="31"/>
      <c r="K119" s="31"/>
      <c r="L119" s="31"/>
      <c r="M119" s="31"/>
      <c r="N119" s="31"/>
      <c r="O119" s="31"/>
      <c r="P119" s="31"/>
    </row>
    <row r="120" spans="2:16" ht="16.5">
      <c r="B120" s="4"/>
      <c r="E120" s="32"/>
      <c r="F120" s="32"/>
      <c r="G120" s="32"/>
      <c r="H120" s="32"/>
      <c r="I120" s="32"/>
      <c r="J120" s="31"/>
      <c r="K120" s="31"/>
      <c r="L120" s="31"/>
      <c r="M120" s="31"/>
      <c r="N120" s="31"/>
      <c r="O120" s="31"/>
      <c r="P120" s="31"/>
    </row>
    <row r="121" spans="2:16" ht="16.5">
      <c r="B121" s="4"/>
      <c r="E121" s="32"/>
      <c r="F121" s="32"/>
      <c r="G121" s="32"/>
      <c r="H121" s="32"/>
      <c r="I121" s="32"/>
      <c r="J121" s="31"/>
      <c r="K121" s="31"/>
      <c r="L121" s="31"/>
      <c r="M121" s="31"/>
      <c r="N121" s="31"/>
      <c r="O121" s="31"/>
      <c r="P121" s="31"/>
    </row>
    <row r="122" spans="2:16" ht="16.5">
      <c r="B122" s="4"/>
      <c r="E122" s="32"/>
      <c r="F122" s="32"/>
      <c r="G122" s="32"/>
      <c r="H122" s="32"/>
      <c r="I122" s="32"/>
      <c r="J122" s="31"/>
      <c r="K122" s="31"/>
      <c r="L122" s="31"/>
      <c r="M122" s="31"/>
      <c r="N122" s="31"/>
      <c r="O122" s="31"/>
      <c r="P122" s="31"/>
    </row>
    <row r="123" spans="2:16" ht="16.5">
      <c r="B123" s="4"/>
      <c r="E123" s="31"/>
      <c r="F123" s="32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2:16" ht="16.5">
      <c r="B124" s="4"/>
      <c r="E124" s="31"/>
      <c r="F124" s="32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2:16" ht="16.5">
      <c r="B125" s="4"/>
      <c r="E125" s="31"/>
      <c r="F125" s="32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2:16" ht="16.5">
      <c r="B126" s="4"/>
      <c r="E126" s="31"/>
      <c r="F126" s="32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2:16" ht="16.5">
      <c r="B127" s="4"/>
      <c r="E127" s="31"/>
      <c r="F127" s="32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2:16" ht="16.5">
      <c r="B128" s="4"/>
      <c r="E128" s="31"/>
      <c r="F128" s="32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2:16" ht="16.5">
      <c r="B129" s="4"/>
      <c r="E129" s="31"/>
      <c r="F129" s="32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2:16" ht="16.5">
      <c r="B130" s="4"/>
      <c r="E130" s="31"/>
      <c r="F130" s="32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2:16" ht="16.5">
      <c r="B131" s="4"/>
      <c r="E131" s="31"/>
      <c r="F131" s="32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2:16" ht="16.5">
      <c r="B132" s="4"/>
      <c r="E132" s="31"/>
      <c r="F132" s="32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2:16" ht="16.5">
      <c r="B133" s="4"/>
      <c r="E133" s="31"/>
      <c r="F133" s="32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2:16" ht="16.5">
      <c r="B134" s="4"/>
      <c r="E134" s="31"/>
      <c r="F134" s="32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2:16" ht="16.5">
      <c r="B135" s="4"/>
      <c r="E135" s="31"/>
      <c r="F135" s="32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2:16" ht="16.5">
      <c r="B136" s="4"/>
      <c r="E136" s="31"/>
      <c r="F136" s="32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2:16" ht="16.5">
      <c r="B137" s="4"/>
      <c r="E137" s="31"/>
      <c r="F137" s="32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2:16" ht="16.5">
      <c r="B138" s="4"/>
      <c r="E138" s="31"/>
      <c r="F138" s="32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2:16" ht="16.5">
      <c r="B139" s="4"/>
      <c r="E139" s="31"/>
      <c r="F139" s="32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2:16" ht="16.5">
      <c r="B140" s="4"/>
      <c r="E140" s="31"/>
      <c r="F140" s="32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2:16" ht="16.5">
      <c r="B141" s="4"/>
      <c r="E141" s="31"/>
      <c r="F141" s="32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2:16" ht="16.5">
      <c r="B142" s="4"/>
      <c r="E142" s="31"/>
      <c r="F142" s="32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2:16" ht="16.5">
      <c r="B143" s="4"/>
      <c r="E143" s="31"/>
      <c r="F143" s="32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2:16" ht="16.5">
      <c r="B144" s="4"/>
      <c r="E144" s="31"/>
      <c r="F144" s="32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2:16" ht="16.5">
      <c r="B145" s="4"/>
      <c r="E145" s="31"/>
      <c r="F145" s="32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2:16" ht="16.5">
      <c r="B146" s="4"/>
      <c r="E146" s="31"/>
      <c r="F146" s="32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2:16" ht="16.5">
      <c r="B147" s="4"/>
      <c r="E147" s="31"/>
      <c r="F147" s="32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2:16" ht="16.5">
      <c r="B148" s="4"/>
      <c r="E148" s="31"/>
      <c r="F148" s="32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2:16" ht="16.5">
      <c r="B149" s="4"/>
      <c r="E149" s="31"/>
      <c r="F149" s="32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2:16" ht="16.5">
      <c r="B150" s="4"/>
      <c r="E150" s="31"/>
      <c r="F150" s="32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2:16" ht="16.5">
      <c r="B151" s="4"/>
      <c r="E151" s="31"/>
      <c r="F151" s="32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2:16" ht="16.5">
      <c r="B152" s="4"/>
      <c r="E152" s="31"/>
      <c r="F152" s="32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2:16" ht="16.5">
      <c r="B153" s="4"/>
      <c r="E153" s="31"/>
      <c r="F153" s="32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2:16" ht="16.5">
      <c r="B154" s="4"/>
      <c r="E154" s="31"/>
      <c r="F154" s="32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2:16" ht="16.5">
      <c r="B155" s="4"/>
      <c r="E155" s="31"/>
      <c r="F155" s="32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2:16" ht="16.5">
      <c r="B156" s="4"/>
      <c r="E156" s="31"/>
      <c r="F156" s="32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2:16" ht="16.5">
      <c r="B157" s="4"/>
      <c r="E157" s="31"/>
      <c r="F157" s="32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2:16" ht="16.5">
      <c r="B158" s="4"/>
      <c r="E158" s="31"/>
      <c r="F158" s="32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2:16" ht="16.5">
      <c r="B159" s="4"/>
      <c r="E159" s="31"/>
      <c r="F159" s="32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2:16" ht="16.5">
      <c r="B160" s="4"/>
      <c r="E160" s="31"/>
      <c r="F160" s="32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2:16" ht="16.5">
      <c r="B161" s="4"/>
      <c r="E161" s="31"/>
      <c r="F161" s="32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5:16" ht="16.5">
      <c r="E162" s="31"/>
      <c r="F162" s="32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5:16" ht="16.5">
      <c r="E163" s="31"/>
      <c r="F163" s="32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5:16" ht="16.5">
      <c r="E164" s="31"/>
      <c r="F164" s="32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5:16" ht="16.5">
      <c r="E165" s="31"/>
      <c r="F165" s="32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5:16" ht="16.5">
      <c r="E166" s="31"/>
      <c r="F166" s="32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5:16" ht="16.5">
      <c r="E167" s="31"/>
      <c r="F167" s="32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5:16" ht="16.5">
      <c r="E168" s="31"/>
      <c r="F168" s="32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5:16" ht="16.5">
      <c r="E169" s="31"/>
      <c r="F169" s="32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5:16" ht="16.5">
      <c r="E170" s="31"/>
      <c r="F170" s="32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5:16" ht="16.5">
      <c r="E171" s="31"/>
      <c r="F171" s="32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5:16" ht="16.5">
      <c r="E172" s="31"/>
      <c r="F172" s="32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5:16" ht="16.5">
      <c r="E173" s="31"/>
      <c r="F173" s="32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5:16" ht="16.5">
      <c r="E174" s="31"/>
      <c r="F174" s="32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5:16" ht="16.5">
      <c r="E175" s="31"/>
      <c r="F175" s="32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5:16" ht="16.5">
      <c r="E176" s="31"/>
      <c r="F176" s="32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5:16" ht="16.5">
      <c r="E177" s="31"/>
      <c r="F177" s="32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5:16" ht="16.5">
      <c r="E178" s="31"/>
      <c r="F178" s="32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5:16" ht="16.5">
      <c r="E179" s="31"/>
      <c r="F179" s="32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5:16" ht="16.5">
      <c r="E180" s="31"/>
      <c r="F180" s="32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5:16" ht="16.5">
      <c r="E181" s="31"/>
      <c r="F181" s="32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5:16" ht="16.5">
      <c r="E182" s="31"/>
      <c r="F182" s="32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5:16" ht="16.5">
      <c r="E183" s="31"/>
      <c r="F183" s="32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5:16" ht="16.5">
      <c r="E184" s="31"/>
      <c r="F184" s="32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5:16" ht="16.5">
      <c r="E185" s="31"/>
      <c r="F185" s="32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5:16" ht="16.5">
      <c r="E186" s="31"/>
      <c r="F186" s="32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5:16" ht="16.5">
      <c r="E187" s="31"/>
      <c r="F187" s="32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5:16" ht="16.5">
      <c r="E188" s="31"/>
      <c r="F188" s="32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5:16" ht="16.5">
      <c r="E189" s="31"/>
      <c r="F189" s="32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5:16" ht="16.5">
      <c r="E190" s="31"/>
      <c r="F190" s="32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5:16" ht="16.5">
      <c r="E191" s="31"/>
      <c r="F191" s="32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5:16" ht="16.5">
      <c r="E192" s="31"/>
      <c r="F192" s="32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5:16" ht="16.5">
      <c r="E193" s="31"/>
      <c r="F193" s="32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5:16" ht="16.5">
      <c r="E194" s="31"/>
      <c r="F194" s="32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5:16" ht="16.5">
      <c r="E195" s="31"/>
      <c r="F195" s="32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5:16" ht="16.5">
      <c r="E196" s="31"/>
      <c r="F196" s="32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5:16" ht="16.5">
      <c r="E197" s="31"/>
      <c r="F197" s="32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5:16" ht="16.5">
      <c r="E198" s="31"/>
      <c r="F198" s="32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5:16" ht="16.5">
      <c r="E199" s="31"/>
      <c r="F199" s="32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5:16" ht="16.5">
      <c r="E200" s="31"/>
      <c r="F200" s="32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5:16" ht="16.5">
      <c r="E201" s="31"/>
      <c r="F201" s="32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5:16" ht="16.5">
      <c r="E202" s="31"/>
      <c r="F202" s="32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5:16" ht="16.5">
      <c r="E203" s="31"/>
      <c r="F203" s="32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5:16" ht="16.5">
      <c r="E204" s="31"/>
      <c r="F204" s="32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5:16" ht="16.5">
      <c r="E205" s="31"/>
      <c r="F205" s="32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5:16" ht="16.5">
      <c r="E206" s="31"/>
      <c r="F206" s="32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5:16" ht="16.5">
      <c r="E207" s="31"/>
      <c r="F207" s="32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5:16" ht="16.5">
      <c r="E208" s="31"/>
      <c r="F208" s="32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5:16" ht="16.5">
      <c r="E209" s="31"/>
      <c r="F209" s="32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5:16" ht="16.5">
      <c r="E210" s="31"/>
      <c r="F210" s="32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5:16" ht="16.5">
      <c r="E211" s="31"/>
      <c r="F211" s="32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5:16" ht="16.5">
      <c r="E212" s="31"/>
      <c r="F212" s="32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5:16" ht="16.5">
      <c r="E213" s="31"/>
      <c r="F213" s="32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5:16" ht="16.5">
      <c r="E214" s="31"/>
      <c r="F214" s="32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5:16" ht="16.5">
      <c r="E215" s="31"/>
      <c r="F215" s="32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5:16" ht="16.5">
      <c r="E216" s="31"/>
      <c r="F216" s="32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5:16" ht="16.5">
      <c r="E217" s="31"/>
      <c r="F217" s="32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5:16" ht="16.5">
      <c r="E218" s="31"/>
      <c r="F218" s="32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5:16" ht="16.5">
      <c r="E219" s="31"/>
      <c r="F219" s="32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5:16" ht="16.5">
      <c r="E220" s="31"/>
      <c r="F220" s="32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5:16" ht="16.5">
      <c r="E221" s="31"/>
      <c r="F221" s="32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5:16" ht="16.5">
      <c r="E222" s="31"/>
      <c r="F222" s="32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5:16" ht="16.5">
      <c r="E223" s="31"/>
      <c r="F223" s="32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5:16" ht="16.5">
      <c r="E224" s="31"/>
      <c r="F224" s="32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5:16" ht="16.5">
      <c r="E225" s="31"/>
      <c r="F225" s="32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5:16" ht="16.5">
      <c r="E226" s="31"/>
      <c r="F226" s="32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5:16" ht="16.5">
      <c r="E227" s="31"/>
      <c r="F227" s="32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5:16" ht="16.5">
      <c r="E228" s="31"/>
      <c r="F228" s="32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5:16" ht="16.5">
      <c r="E229" s="31"/>
      <c r="F229" s="32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5:16" ht="16.5">
      <c r="E230" s="31"/>
      <c r="F230" s="32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5:16" ht="16.5">
      <c r="E231" s="31"/>
      <c r="F231" s="32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5:16" ht="16.5">
      <c r="E232" s="31"/>
      <c r="F232" s="32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5:16" ht="16.5">
      <c r="E233" s="31"/>
      <c r="F233" s="32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5:16" ht="16.5">
      <c r="E234" s="31"/>
      <c r="F234" s="32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5:16" ht="16.5">
      <c r="E235" s="31"/>
      <c r="F235" s="32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5:16" ht="16.5">
      <c r="E236" s="31"/>
      <c r="F236" s="32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5:16" ht="16.5">
      <c r="E237" s="31"/>
      <c r="F237" s="32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5:16" ht="16.5">
      <c r="E238" s="31"/>
      <c r="F238" s="32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5:16" ht="16.5">
      <c r="E239" s="31"/>
      <c r="F239" s="32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5:16" ht="16.5">
      <c r="E240" s="31"/>
      <c r="F240" s="32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5:16" ht="16.5">
      <c r="E241" s="31"/>
      <c r="F241" s="32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5:16" ht="16.5">
      <c r="E242" s="31"/>
      <c r="F242" s="32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5:16" ht="16.5">
      <c r="E243" s="31"/>
      <c r="F243" s="32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5:16" ht="16.5">
      <c r="E244" s="31"/>
      <c r="F244" s="32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5:16" ht="16.5">
      <c r="E245" s="31"/>
      <c r="F245" s="32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5:16" ht="16.5">
      <c r="E246" s="31"/>
      <c r="F246" s="32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5:16" ht="16.5">
      <c r="E247" s="31"/>
      <c r="F247" s="32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5:16" ht="16.5">
      <c r="E248" s="31"/>
      <c r="F248" s="32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5:16" ht="16.5">
      <c r="E249" s="31"/>
      <c r="F249" s="32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5:16" ht="16.5">
      <c r="E250" s="31"/>
      <c r="F250" s="32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5:16" ht="16.5">
      <c r="E251" s="31"/>
      <c r="F251" s="32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5:16" ht="16.5">
      <c r="E252" s="31"/>
      <c r="F252" s="32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5:16" ht="16.5">
      <c r="E253" s="31"/>
      <c r="F253" s="32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5:16" ht="16.5">
      <c r="E254" s="31"/>
      <c r="F254" s="32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5:16" ht="16.5">
      <c r="E255" s="31"/>
      <c r="F255" s="32"/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5:16" ht="16.5">
      <c r="E256" s="31"/>
      <c r="F256" s="32"/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5:16" ht="16.5">
      <c r="E257" s="31"/>
      <c r="F257" s="32"/>
      <c r="G257" s="31"/>
      <c r="H257" s="31"/>
      <c r="I257" s="31"/>
      <c r="J257" s="31"/>
      <c r="K257" s="31"/>
      <c r="L257" s="31"/>
      <c r="M257" s="31"/>
      <c r="N257" s="31"/>
      <c r="O257" s="31"/>
      <c r="P257" s="31"/>
    </row>
    <row r="258" spans="5:16" ht="16.5">
      <c r="E258" s="31"/>
      <c r="F258" s="32"/>
      <c r="G258" s="31"/>
      <c r="H258" s="31"/>
      <c r="I258" s="31"/>
      <c r="J258" s="31"/>
      <c r="K258" s="31"/>
      <c r="L258" s="31"/>
      <c r="M258" s="31"/>
      <c r="N258" s="31"/>
      <c r="O258" s="31"/>
      <c r="P258" s="31"/>
    </row>
    <row r="259" spans="5:16" ht="16.5">
      <c r="E259" s="31"/>
      <c r="F259" s="32"/>
      <c r="G259" s="31"/>
      <c r="H259" s="31"/>
      <c r="I259" s="31"/>
      <c r="J259" s="31"/>
      <c r="K259" s="31"/>
      <c r="L259" s="31"/>
      <c r="M259" s="31"/>
      <c r="N259" s="31"/>
      <c r="O259" s="31"/>
      <c r="P259" s="31"/>
    </row>
    <row r="260" spans="5:16" ht="16.5">
      <c r="E260" s="31"/>
      <c r="F260" s="32"/>
      <c r="G260" s="31"/>
      <c r="H260" s="31"/>
      <c r="I260" s="31"/>
      <c r="J260" s="31"/>
      <c r="K260" s="31"/>
      <c r="L260" s="31"/>
      <c r="M260" s="31"/>
      <c r="N260" s="31"/>
      <c r="O260" s="31"/>
      <c r="P260" s="31"/>
    </row>
    <row r="261" spans="5:16" ht="16.5">
      <c r="E261" s="31"/>
      <c r="F261" s="32"/>
      <c r="G261" s="31"/>
      <c r="H261" s="31"/>
      <c r="I261" s="31"/>
      <c r="J261" s="31"/>
      <c r="K261" s="31"/>
      <c r="L261" s="31"/>
      <c r="M261" s="31"/>
      <c r="N261" s="31"/>
      <c r="O261" s="31"/>
      <c r="P261" s="31"/>
    </row>
    <row r="262" spans="5:16" ht="16.5">
      <c r="E262" s="31"/>
      <c r="F262" s="32"/>
      <c r="G262" s="31"/>
      <c r="H262" s="31"/>
      <c r="I262" s="31"/>
      <c r="J262" s="31"/>
      <c r="K262" s="31"/>
      <c r="L262" s="31"/>
      <c r="M262" s="31"/>
      <c r="N262" s="31"/>
      <c r="O262" s="31"/>
      <c r="P262" s="31"/>
    </row>
    <row r="263" spans="5:16" ht="16.5">
      <c r="E263" s="31"/>
      <c r="F263" s="32"/>
      <c r="G263" s="31"/>
      <c r="H263" s="31"/>
      <c r="I263" s="31"/>
      <c r="J263" s="31"/>
      <c r="K263" s="31"/>
      <c r="L263" s="31"/>
      <c r="M263" s="31"/>
      <c r="N263" s="31"/>
      <c r="O263" s="31"/>
      <c r="P263" s="31"/>
    </row>
    <row r="264" spans="5:16" ht="16.5">
      <c r="E264" s="31"/>
      <c r="F264" s="32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5:16" ht="16.5">
      <c r="E265" s="31"/>
      <c r="F265" s="32"/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5:16" ht="16.5">
      <c r="E266" s="31"/>
      <c r="F266" s="32"/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5:16" ht="16.5">
      <c r="E267" s="31"/>
      <c r="F267" s="32"/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5:16" ht="16.5">
      <c r="E268" s="31"/>
      <c r="F268" s="32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5:16" ht="16.5">
      <c r="E269" s="31"/>
      <c r="F269" s="32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5:16" ht="16.5">
      <c r="E270" s="31"/>
      <c r="F270" s="32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5:16" ht="16.5">
      <c r="E271" s="31"/>
      <c r="F271" s="32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5:16" ht="16.5">
      <c r="E272" s="31"/>
      <c r="F272" s="32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5:16" ht="16.5">
      <c r="E273" s="31"/>
      <c r="F273" s="32"/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5:16" ht="16.5">
      <c r="E274" s="31"/>
      <c r="F274" s="32"/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  <row r="275" spans="5:16" ht="16.5">
      <c r="E275" s="31"/>
      <c r="F275" s="32"/>
      <c r="G275" s="31"/>
      <c r="H275" s="31"/>
      <c r="I275" s="31"/>
      <c r="J275" s="31"/>
      <c r="K275" s="31"/>
      <c r="L275" s="31"/>
      <c r="M275" s="31"/>
      <c r="N275" s="31"/>
      <c r="O275" s="31"/>
      <c r="P275" s="31"/>
    </row>
    <row r="276" spans="5:16" ht="16.5">
      <c r="E276" s="31"/>
      <c r="F276" s="32"/>
      <c r="G276" s="31"/>
      <c r="H276" s="31"/>
      <c r="I276" s="31"/>
      <c r="J276" s="31"/>
      <c r="K276" s="31"/>
      <c r="L276" s="31"/>
      <c r="M276" s="31"/>
      <c r="N276" s="31"/>
      <c r="O276" s="31"/>
      <c r="P276" s="31"/>
    </row>
    <row r="277" spans="5:16" ht="16.5">
      <c r="E277" s="31"/>
      <c r="F277" s="32"/>
      <c r="G277" s="31"/>
      <c r="H277" s="31"/>
      <c r="I277" s="31"/>
      <c r="J277" s="31"/>
      <c r="K277" s="31"/>
      <c r="L277" s="31"/>
      <c r="M277" s="31"/>
      <c r="N277" s="31"/>
      <c r="O277" s="31"/>
      <c r="P277" s="31"/>
    </row>
    <row r="278" spans="5:16" ht="16.5">
      <c r="E278" s="31"/>
      <c r="F278" s="32"/>
      <c r="G278" s="31"/>
      <c r="H278" s="31"/>
      <c r="I278" s="31"/>
      <c r="J278" s="31"/>
      <c r="K278" s="31"/>
      <c r="L278" s="31"/>
      <c r="M278" s="31"/>
      <c r="N278" s="31"/>
      <c r="O278" s="31"/>
      <c r="P278" s="31"/>
    </row>
    <row r="279" spans="5:16" ht="16.5">
      <c r="E279" s="31"/>
      <c r="F279" s="32"/>
      <c r="G279" s="31"/>
      <c r="H279" s="31"/>
      <c r="I279" s="31"/>
      <c r="J279" s="31"/>
      <c r="K279" s="31"/>
      <c r="L279" s="31"/>
      <c r="M279" s="31"/>
      <c r="N279" s="31"/>
      <c r="O279" s="31"/>
      <c r="P279" s="31"/>
    </row>
    <row r="280" spans="5:16" ht="16.5">
      <c r="E280" s="31"/>
      <c r="F280" s="32"/>
      <c r="G280" s="31"/>
      <c r="H280" s="31"/>
      <c r="I280" s="31"/>
      <c r="J280" s="31"/>
      <c r="K280" s="31"/>
      <c r="L280" s="31"/>
      <c r="M280" s="31"/>
      <c r="N280" s="31"/>
      <c r="O280" s="31"/>
      <c r="P280" s="31"/>
    </row>
    <row r="281" spans="5:16" ht="16.5">
      <c r="E281" s="31"/>
      <c r="F281" s="32"/>
      <c r="G281" s="31"/>
      <c r="H281" s="31"/>
      <c r="I281" s="31"/>
      <c r="J281" s="31"/>
      <c r="K281" s="31"/>
      <c r="L281" s="31"/>
      <c r="M281" s="31"/>
      <c r="N281" s="31"/>
      <c r="O281" s="31"/>
      <c r="P281" s="31"/>
    </row>
    <row r="282" spans="5:16" ht="16.5">
      <c r="E282" s="31"/>
      <c r="F282" s="32"/>
      <c r="G282" s="31"/>
      <c r="H282" s="31"/>
      <c r="I282" s="31"/>
      <c r="J282" s="31"/>
      <c r="K282" s="31"/>
      <c r="L282" s="31"/>
      <c r="M282" s="31"/>
      <c r="N282" s="31"/>
      <c r="O282" s="31"/>
      <c r="P282" s="31"/>
    </row>
    <row r="283" spans="5:16" ht="16.5">
      <c r="E283" s="31"/>
      <c r="F283" s="32"/>
      <c r="G283" s="31"/>
      <c r="H283" s="31"/>
      <c r="I283" s="31"/>
      <c r="J283" s="31"/>
      <c r="K283" s="31"/>
      <c r="L283" s="31"/>
      <c r="M283" s="31"/>
      <c r="N283" s="31"/>
      <c r="O283" s="31"/>
      <c r="P283" s="31"/>
    </row>
    <row r="284" spans="5:16" ht="16.5">
      <c r="E284" s="31"/>
      <c r="F284" s="32"/>
      <c r="G284" s="31"/>
      <c r="H284" s="31"/>
      <c r="I284" s="31"/>
      <c r="J284" s="31"/>
      <c r="K284" s="31"/>
      <c r="L284" s="31"/>
      <c r="M284" s="31"/>
      <c r="N284" s="31"/>
      <c r="O284" s="31"/>
      <c r="P284" s="31"/>
    </row>
    <row r="285" spans="5:16" ht="16.5">
      <c r="E285" s="31"/>
      <c r="F285" s="32"/>
      <c r="G285" s="31"/>
      <c r="H285" s="31"/>
      <c r="I285" s="31"/>
      <c r="J285" s="31"/>
      <c r="K285" s="31"/>
      <c r="L285" s="31"/>
      <c r="M285" s="31"/>
      <c r="N285" s="31"/>
      <c r="O285" s="31"/>
      <c r="P285" s="31"/>
    </row>
    <row r="286" spans="5:16" ht="16.5">
      <c r="E286" s="31"/>
      <c r="F286" s="32"/>
      <c r="G286" s="31"/>
      <c r="H286" s="31"/>
      <c r="I286" s="31"/>
      <c r="J286" s="31"/>
      <c r="K286" s="31"/>
      <c r="L286" s="31"/>
      <c r="M286" s="31"/>
      <c r="N286" s="31"/>
      <c r="O286" s="31"/>
      <c r="P286" s="31"/>
    </row>
    <row r="287" spans="5:16" ht="16.5">
      <c r="E287" s="31"/>
      <c r="F287" s="32"/>
      <c r="G287" s="31"/>
      <c r="H287" s="31"/>
      <c r="I287" s="31"/>
      <c r="J287" s="31"/>
      <c r="K287" s="31"/>
      <c r="L287" s="31"/>
      <c r="M287" s="31"/>
      <c r="N287" s="31"/>
      <c r="O287" s="31"/>
      <c r="P287" s="31"/>
    </row>
    <row r="288" spans="5:16" ht="16.5">
      <c r="E288" s="31"/>
      <c r="F288" s="32"/>
      <c r="G288" s="31"/>
      <c r="H288" s="31"/>
      <c r="I288" s="31"/>
      <c r="J288" s="31"/>
      <c r="K288" s="31"/>
      <c r="L288" s="31"/>
      <c r="M288" s="31"/>
      <c r="N288" s="31"/>
      <c r="O288" s="31"/>
      <c r="P288" s="31"/>
    </row>
    <row r="289" spans="5:16" ht="16.5">
      <c r="E289" s="31"/>
      <c r="F289" s="32"/>
      <c r="G289" s="31"/>
      <c r="H289" s="31"/>
      <c r="I289" s="31"/>
      <c r="J289" s="31"/>
      <c r="K289" s="31"/>
      <c r="L289" s="31"/>
      <c r="M289" s="31"/>
      <c r="N289" s="31"/>
      <c r="O289" s="31"/>
      <c r="P289" s="31"/>
    </row>
    <row r="290" spans="5:16" ht="16.5">
      <c r="E290" s="31"/>
      <c r="F290" s="32"/>
      <c r="G290" s="31"/>
      <c r="H290" s="31"/>
      <c r="I290" s="31"/>
      <c r="J290" s="31"/>
      <c r="K290" s="31"/>
      <c r="L290" s="31"/>
      <c r="M290" s="31"/>
      <c r="N290" s="31"/>
      <c r="O290" s="31"/>
      <c r="P290" s="31"/>
    </row>
    <row r="291" spans="5:16" ht="16.5">
      <c r="E291" s="31"/>
      <c r="F291" s="32"/>
      <c r="G291" s="31"/>
      <c r="H291" s="31"/>
      <c r="I291" s="31"/>
      <c r="J291" s="31"/>
      <c r="K291" s="31"/>
      <c r="L291" s="31"/>
      <c r="M291" s="31"/>
      <c r="N291" s="31"/>
      <c r="O291" s="31"/>
      <c r="P291" s="31"/>
    </row>
    <row r="292" spans="5:16" ht="16.5">
      <c r="E292" s="31"/>
      <c r="F292" s="32"/>
      <c r="G292" s="31"/>
      <c r="H292" s="31"/>
      <c r="I292" s="31"/>
      <c r="J292" s="31"/>
      <c r="K292" s="31"/>
      <c r="L292" s="31"/>
      <c r="M292" s="31"/>
      <c r="N292" s="31"/>
      <c r="O292" s="31"/>
      <c r="P292" s="31"/>
    </row>
    <row r="293" spans="5:16" ht="16.5">
      <c r="E293" s="31"/>
      <c r="F293" s="32"/>
      <c r="G293" s="31"/>
      <c r="H293" s="31"/>
      <c r="I293" s="31"/>
      <c r="J293" s="31"/>
      <c r="K293" s="31"/>
      <c r="L293" s="31"/>
      <c r="M293" s="31"/>
      <c r="N293" s="31"/>
      <c r="O293" s="31"/>
      <c r="P293" s="31"/>
    </row>
    <row r="294" spans="5:16" ht="16.5">
      <c r="E294" s="31"/>
      <c r="F294" s="32"/>
      <c r="G294" s="31"/>
      <c r="H294" s="31"/>
      <c r="I294" s="31"/>
      <c r="J294" s="31"/>
      <c r="K294" s="31"/>
      <c r="L294" s="31"/>
      <c r="M294" s="31"/>
      <c r="N294" s="31"/>
      <c r="O294" s="31"/>
      <c r="P294" s="31"/>
    </row>
    <row r="295" spans="5:16" ht="16.5">
      <c r="E295" s="31"/>
      <c r="F295" s="32"/>
      <c r="G295" s="31"/>
      <c r="H295" s="31"/>
      <c r="I295" s="31"/>
      <c r="J295" s="31"/>
      <c r="K295" s="31"/>
      <c r="L295" s="31"/>
      <c r="M295" s="31"/>
      <c r="N295" s="31"/>
      <c r="O295" s="31"/>
      <c r="P295" s="31"/>
    </row>
    <row r="296" spans="5:16" ht="16.5">
      <c r="E296" s="31"/>
      <c r="F296" s="32"/>
      <c r="G296" s="31"/>
      <c r="H296" s="31"/>
      <c r="I296" s="31"/>
      <c r="J296" s="31"/>
      <c r="K296" s="31"/>
      <c r="L296" s="31"/>
      <c r="M296" s="31"/>
      <c r="N296" s="31"/>
      <c r="O296" s="31"/>
      <c r="P296" s="31"/>
    </row>
    <row r="297" spans="5:16" ht="16.5">
      <c r="E297" s="31"/>
      <c r="F297" s="32"/>
      <c r="G297" s="31"/>
      <c r="H297" s="31"/>
      <c r="I297" s="31"/>
      <c r="J297" s="31"/>
      <c r="K297" s="31"/>
      <c r="L297" s="31"/>
      <c r="M297" s="31"/>
      <c r="N297" s="31"/>
      <c r="O297" s="31"/>
      <c r="P297" s="31"/>
    </row>
    <row r="298" spans="5:16" ht="16.5">
      <c r="E298" s="31"/>
      <c r="F298" s="32"/>
      <c r="G298" s="31"/>
      <c r="H298" s="31"/>
      <c r="I298" s="31"/>
      <c r="J298" s="31"/>
      <c r="K298" s="31"/>
      <c r="L298" s="31"/>
      <c r="M298" s="31"/>
      <c r="N298" s="31"/>
      <c r="O298" s="31"/>
      <c r="P298" s="31"/>
    </row>
    <row r="299" spans="5:16" ht="16.5">
      <c r="E299" s="31"/>
      <c r="F299" s="32"/>
      <c r="G299" s="31"/>
      <c r="H299" s="31"/>
      <c r="I299" s="31"/>
      <c r="J299" s="31"/>
      <c r="K299" s="31"/>
      <c r="L299" s="31"/>
      <c r="M299" s="31"/>
      <c r="N299" s="31"/>
      <c r="O299" s="31"/>
      <c r="P299" s="31"/>
    </row>
    <row r="300" spans="5:16" ht="16.5">
      <c r="E300" s="31"/>
      <c r="F300" s="32"/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5:16" ht="16.5">
      <c r="E301" s="31"/>
      <c r="F301" s="32"/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5:16" ht="16.5">
      <c r="E302" s="31"/>
      <c r="F302" s="32"/>
      <c r="G302" s="31"/>
      <c r="H302" s="31"/>
      <c r="I302" s="31"/>
      <c r="J302" s="31"/>
      <c r="K302" s="31"/>
      <c r="L302" s="31"/>
      <c r="M302" s="31"/>
      <c r="N302" s="31"/>
      <c r="O302" s="31"/>
      <c r="P302" s="31"/>
    </row>
    <row r="303" spans="5:16" ht="16.5">
      <c r="E303" s="31"/>
      <c r="F303" s="32"/>
      <c r="G303" s="31"/>
      <c r="H303" s="31"/>
      <c r="I303" s="31"/>
      <c r="J303" s="31"/>
      <c r="K303" s="31"/>
      <c r="L303" s="31"/>
      <c r="M303" s="31"/>
      <c r="N303" s="31"/>
      <c r="O303" s="31"/>
      <c r="P303" s="31"/>
    </row>
    <row r="304" spans="5:16" ht="16.5">
      <c r="E304" s="31"/>
      <c r="F304" s="32"/>
      <c r="G304" s="31"/>
      <c r="H304" s="31"/>
      <c r="I304" s="31"/>
      <c r="J304" s="31"/>
      <c r="K304" s="31"/>
      <c r="L304" s="31"/>
      <c r="M304" s="31"/>
      <c r="N304" s="31"/>
      <c r="O304" s="31"/>
      <c r="P304" s="31"/>
    </row>
    <row r="305" spans="5:16" ht="16.5">
      <c r="E305" s="31"/>
      <c r="F305" s="32"/>
      <c r="G305" s="31"/>
      <c r="H305" s="31"/>
      <c r="I305" s="31"/>
      <c r="J305" s="31"/>
      <c r="K305" s="31"/>
      <c r="L305" s="31"/>
      <c r="M305" s="31"/>
      <c r="N305" s="31"/>
      <c r="O305" s="31"/>
      <c r="P305" s="31"/>
    </row>
    <row r="306" spans="5:16" ht="16.5">
      <c r="E306" s="31"/>
      <c r="F306" s="32"/>
      <c r="G306" s="31"/>
      <c r="H306" s="31"/>
      <c r="I306" s="31"/>
      <c r="J306" s="31"/>
      <c r="K306" s="31"/>
      <c r="L306" s="31"/>
      <c r="M306" s="31"/>
      <c r="N306" s="31"/>
      <c r="O306" s="31"/>
      <c r="P306" s="31"/>
    </row>
    <row r="307" spans="5:16" ht="16.5">
      <c r="E307" s="31"/>
      <c r="F307" s="32"/>
      <c r="G307" s="31"/>
      <c r="H307" s="31"/>
      <c r="I307" s="31"/>
      <c r="J307" s="31"/>
      <c r="K307" s="31"/>
      <c r="L307" s="31"/>
      <c r="M307" s="31"/>
      <c r="N307" s="31"/>
      <c r="O307" s="31"/>
      <c r="P307" s="31"/>
    </row>
    <row r="308" spans="5:16" ht="16.5">
      <c r="E308" s="31"/>
      <c r="F308" s="32"/>
      <c r="G308" s="31"/>
      <c r="H308" s="31"/>
      <c r="I308" s="31"/>
      <c r="J308" s="31"/>
      <c r="K308" s="31"/>
      <c r="L308" s="31"/>
      <c r="M308" s="31"/>
      <c r="N308" s="31"/>
      <c r="O308" s="31"/>
      <c r="P308" s="31"/>
    </row>
    <row r="309" spans="5:16" ht="16.5">
      <c r="E309" s="31"/>
      <c r="F309" s="32"/>
      <c r="G309" s="31"/>
      <c r="H309" s="31"/>
      <c r="I309" s="31"/>
      <c r="J309" s="31"/>
      <c r="K309" s="31"/>
      <c r="L309" s="31"/>
      <c r="M309" s="31"/>
      <c r="N309" s="31"/>
      <c r="O309" s="31"/>
      <c r="P309" s="31"/>
    </row>
    <row r="310" spans="5:16" ht="16.5">
      <c r="E310" s="31"/>
      <c r="F310" s="32"/>
      <c r="G310" s="31"/>
      <c r="H310" s="31"/>
      <c r="I310" s="31"/>
      <c r="J310" s="31"/>
      <c r="K310" s="31"/>
      <c r="L310" s="31"/>
      <c r="M310" s="31"/>
      <c r="N310" s="31"/>
      <c r="O310" s="31"/>
      <c r="P310" s="31"/>
    </row>
    <row r="311" spans="5:16" ht="16.5">
      <c r="E311" s="31"/>
      <c r="F311" s="32"/>
      <c r="G311" s="31"/>
      <c r="H311" s="31"/>
      <c r="I311" s="31"/>
      <c r="J311" s="31"/>
      <c r="K311" s="31"/>
      <c r="L311" s="31"/>
      <c r="M311" s="31"/>
      <c r="N311" s="31"/>
      <c r="O311" s="31"/>
      <c r="P311" s="31"/>
    </row>
    <row r="312" spans="5:16" ht="16.5">
      <c r="E312" s="31"/>
      <c r="F312" s="32"/>
      <c r="G312" s="31"/>
      <c r="H312" s="31"/>
      <c r="I312" s="31"/>
      <c r="J312" s="31"/>
      <c r="K312" s="31"/>
      <c r="L312" s="31"/>
      <c r="M312" s="31"/>
      <c r="N312" s="31"/>
      <c r="O312" s="31"/>
      <c r="P312" s="31"/>
    </row>
    <row r="313" spans="5:16" ht="16.5">
      <c r="E313" s="31"/>
      <c r="F313" s="32"/>
      <c r="G313" s="31"/>
      <c r="H313" s="31"/>
      <c r="I313" s="31"/>
      <c r="J313" s="31"/>
      <c r="K313" s="31"/>
      <c r="L313" s="31"/>
      <c r="M313" s="31"/>
      <c r="N313" s="31"/>
      <c r="O313" s="31"/>
      <c r="P313" s="31"/>
    </row>
    <row r="314" spans="5:16" ht="16.5">
      <c r="E314" s="31"/>
      <c r="F314" s="32"/>
      <c r="G314" s="31"/>
      <c r="H314" s="31"/>
      <c r="I314" s="31"/>
      <c r="J314" s="31"/>
      <c r="K314" s="31"/>
      <c r="L314" s="31"/>
      <c r="M314" s="31"/>
      <c r="N314" s="31"/>
      <c r="O314" s="31"/>
      <c r="P314" s="31"/>
    </row>
    <row r="315" spans="5:16" ht="16.5">
      <c r="E315" s="31"/>
      <c r="F315" s="32"/>
      <c r="G315" s="31"/>
      <c r="H315" s="31"/>
      <c r="I315" s="31"/>
      <c r="J315" s="31"/>
      <c r="K315" s="31"/>
      <c r="L315" s="31"/>
      <c r="M315" s="31"/>
      <c r="N315" s="31"/>
      <c r="O315" s="31"/>
      <c r="P315" s="31"/>
    </row>
    <row r="316" spans="5:16" ht="16.5">
      <c r="E316" s="31"/>
      <c r="F316" s="32"/>
      <c r="G316" s="31"/>
      <c r="H316" s="31"/>
      <c r="I316" s="31"/>
      <c r="J316" s="31"/>
      <c r="K316" s="31"/>
      <c r="L316" s="31"/>
      <c r="M316" s="31"/>
      <c r="N316" s="31"/>
      <c r="O316" s="31"/>
      <c r="P316" s="31"/>
    </row>
    <row r="317" spans="5:16" ht="16.5">
      <c r="E317" s="31"/>
      <c r="F317" s="32"/>
      <c r="G317" s="31"/>
      <c r="H317" s="31"/>
      <c r="I317" s="31"/>
      <c r="J317" s="31"/>
      <c r="K317" s="31"/>
      <c r="L317" s="31"/>
      <c r="M317" s="31"/>
      <c r="N317" s="31"/>
      <c r="O317" s="31"/>
      <c r="P317" s="31"/>
    </row>
    <row r="318" spans="5:16" ht="16.5">
      <c r="E318" s="31"/>
      <c r="F318" s="32"/>
      <c r="G318" s="31"/>
      <c r="H318" s="31"/>
      <c r="I318" s="31"/>
      <c r="J318" s="31"/>
      <c r="K318" s="31"/>
      <c r="L318" s="31"/>
      <c r="M318" s="31"/>
      <c r="N318" s="31"/>
      <c r="O318" s="31"/>
      <c r="P318" s="31"/>
    </row>
    <row r="319" spans="5:16" ht="16.5">
      <c r="E319" s="31"/>
      <c r="F319" s="32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5:16" ht="16.5">
      <c r="E320" s="31"/>
      <c r="F320" s="32"/>
      <c r="G320" s="31"/>
      <c r="H320" s="31"/>
      <c r="I320" s="31"/>
      <c r="J320" s="31"/>
      <c r="K320" s="31"/>
      <c r="L320" s="31"/>
      <c r="M320" s="31"/>
      <c r="N320" s="31"/>
      <c r="O320" s="31"/>
      <c r="P320" s="31"/>
    </row>
    <row r="321" spans="5:16" ht="16.5">
      <c r="E321" s="31"/>
      <c r="F321" s="32"/>
      <c r="G321" s="31"/>
      <c r="H321" s="31"/>
      <c r="I321" s="31"/>
      <c r="J321" s="31"/>
      <c r="K321" s="31"/>
      <c r="L321" s="31"/>
      <c r="M321" s="31"/>
      <c r="N321" s="31"/>
      <c r="O321" s="31"/>
      <c r="P321" s="31"/>
    </row>
    <row r="322" spans="5:16" ht="16.5">
      <c r="E322" s="31"/>
      <c r="F322" s="32"/>
      <c r="G322" s="31"/>
      <c r="H322" s="31"/>
      <c r="I322" s="31"/>
      <c r="J322" s="31"/>
      <c r="K322" s="31"/>
      <c r="L322" s="31"/>
      <c r="M322" s="31"/>
      <c r="N322" s="31"/>
      <c r="O322" s="31"/>
      <c r="P322" s="31"/>
    </row>
    <row r="323" spans="5:16" ht="16.5">
      <c r="E323" s="31"/>
      <c r="F323" s="32"/>
      <c r="G323" s="31"/>
      <c r="H323" s="31"/>
      <c r="I323" s="31"/>
      <c r="J323" s="31"/>
      <c r="K323" s="31"/>
      <c r="L323" s="31"/>
      <c r="M323" s="31"/>
      <c r="N323" s="31"/>
      <c r="O323" s="31"/>
      <c r="P323" s="31"/>
    </row>
    <row r="324" spans="5:16" ht="16.5">
      <c r="E324" s="31"/>
      <c r="F324" s="32"/>
      <c r="G324" s="31"/>
      <c r="H324" s="31"/>
      <c r="I324" s="31"/>
      <c r="J324" s="31"/>
      <c r="K324" s="31"/>
      <c r="L324" s="31"/>
      <c r="M324" s="31"/>
      <c r="N324" s="31"/>
      <c r="O324" s="31"/>
      <c r="P324" s="31"/>
    </row>
    <row r="325" spans="5:16" ht="16.5">
      <c r="E325" s="31"/>
      <c r="F325" s="32"/>
      <c r="G325" s="31"/>
      <c r="H325" s="31"/>
      <c r="I325" s="31"/>
      <c r="J325" s="31"/>
      <c r="K325" s="31"/>
      <c r="L325" s="31"/>
      <c r="M325" s="31"/>
      <c r="N325" s="31"/>
      <c r="O325" s="31"/>
      <c r="P325" s="31"/>
    </row>
    <row r="326" spans="5:16" ht="16.5">
      <c r="E326" s="31"/>
      <c r="F326" s="32"/>
      <c r="G326" s="31"/>
      <c r="H326" s="31"/>
      <c r="I326" s="31"/>
      <c r="J326" s="31"/>
      <c r="K326" s="31"/>
      <c r="L326" s="31"/>
      <c r="M326" s="31"/>
      <c r="N326" s="31"/>
      <c r="O326" s="31"/>
      <c r="P326" s="31"/>
    </row>
    <row r="327" spans="5:16" ht="16.5">
      <c r="E327" s="31"/>
      <c r="F327" s="32"/>
      <c r="G327" s="31"/>
      <c r="H327" s="31"/>
      <c r="I327" s="31"/>
      <c r="J327" s="31"/>
      <c r="K327" s="31"/>
      <c r="L327" s="31"/>
      <c r="M327" s="31"/>
      <c r="N327" s="31"/>
      <c r="O327" s="31"/>
      <c r="P327" s="31"/>
    </row>
    <row r="328" spans="5:16" ht="16.5">
      <c r="E328" s="31"/>
      <c r="F328" s="32"/>
      <c r="G328" s="31"/>
      <c r="H328" s="31"/>
      <c r="I328" s="31"/>
      <c r="J328" s="31"/>
      <c r="K328" s="31"/>
      <c r="L328" s="31"/>
      <c r="M328" s="31"/>
      <c r="N328" s="31"/>
      <c r="O328" s="31"/>
      <c r="P328" s="31"/>
    </row>
    <row r="329" spans="5:16" ht="16.5">
      <c r="E329" s="31"/>
      <c r="F329" s="32"/>
      <c r="G329" s="31"/>
      <c r="H329" s="31"/>
      <c r="I329" s="31"/>
      <c r="J329" s="31"/>
      <c r="K329" s="31"/>
      <c r="L329" s="31"/>
      <c r="M329" s="31"/>
      <c r="N329" s="31"/>
      <c r="O329" s="31"/>
      <c r="P329" s="31"/>
    </row>
    <row r="330" spans="5:16" ht="16.5">
      <c r="E330" s="31"/>
      <c r="F330" s="32"/>
      <c r="G330" s="31"/>
      <c r="H330" s="31"/>
      <c r="I330" s="31"/>
      <c r="J330" s="31"/>
      <c r="K330" s="31"/>
      <c r="L330" s="31"/>
      <c r="M330" s="31"/>
      <c r="N330" s="31"/>
      <c r="O330" s="31"/>
      <c r="P330" s="31"/>
    </row>
    <row r="331" spans="5:16" ht="16.5">
      <c r="E331" s="31"/>
      <c r="F331" s="32"/>
      <c r="G331" s="31"/>
      <c r="H331" s="31"/>
      <c r="I331" s="31"/>
      <c r="J331" s="31"/>
      <c r="K331" s="31"/>
      <c r="L331" s="31"/>
      <c r="M331" s="31"/>
      <c r="N331" s="31"/>
      <c r="O331" s="31"/>
      <c r="P331" s="31"/>
    </row>
    <row r="332" spans="5:16" ht="16.5">
      <c r="E332" s="31"/>
      <c r="F332" s="32"/>
      <c r="G332" s="31"/>
      <c r="H332" s="31"/>
      <c r="I332" s="31"/>
      <c r="J332" s="31"/>
      <c r="K332" s="31"/>
      <c r="L332" s="31"/>
      <c r="M332" s="31"/>
      <c r="N332" s="31"/>
      <c r="O332" s="31"/>
      <c r="P332" s="31"/>
    </row>
    <row r="333" spans="5:16" ht="16.5">
      <c r="E333" s="31"/>
      <c r="F333" s="32"/>
      <c r="G333" s="31"/>
      <c r="H333" s="31"/>
      <c r="I333" s="31"/>
      <c r="J333" s="31"/>
      <c r="K333" s="31"/>
      <c r="L333" s="31"/>
      <c r="M333" s="31"/>
      <c r="N333" s="31"/>
      <c r="O333" s="31"/>
      <c r="P333" s="31"/>
    </row>
    <row r="334" spans="5:16" ht="16.5">
      <c r="E334" s="31"/>
      <c r="F334" s="32"/>
      <c r="G334" s="31"/>
      <c r="H334" s="31"/>
      <c r="I334" s="31"/>
      <c r="J334" s="31"/>
      <c r="K334" s="31"/>
      <c r="L334" s="31"/>
      <c r="M334" s="31"/>
      <c r="N334" s="31"/>
      <c r="O334" s="31"/>
      <c r="P334" s="31"/>
    </row>
    <row r="335" spans="5:16" ht="16.5">
      <c r="E335" s="31"/>
      <c r="F335" s="32"/>
      <c r="G335" s="31"/>
      <c r="H335" s="31"/>
      <c r="I335" s="31"/>
      <c r="J335" s="31"/>
      <c r="K335" s="31"/>
      <c r="L335" s="31"/>
      <c r="M335" s="31"/>
      <c r="N335" s="31"/>
      <c r="O335" s="31"/>
      <c r="P335" s="31"/>
    </row>
    <row r="336" spans="5:16" ht="16.5">
      <c r="E336" s="31"/>
      <c r="F336" s="32"/>
      <c r="G336" s="31"/>
      <c r="H336" s="31"/>
      <c r="I336" s="31"/>
      <c r="J336" s="31"/>
      <c r="K336" s="31"/>
      <c r="L336" s="31"/>
      <c r="M336" s="31"/>
      <c r="N336" s="31"/>
      <c r="O336" s="31"/>
      <c r="P336" s="31"/>
    </row>
    <row r="337" spans="5:16" ht="16.5">
      <c r="E337" s="31"/>
      <c r="F337" s="32"/>
      <c r="G337" s="31"/>
      <c r="H337" s="31"/>
      <c r="I337" s="31"/>
      <c r="J337" s="31"/>
      <c r="K337" s="31"/>
      <c r="L337" s="31"/>
      <c r="M337" s="31"/>
      <c r="N337" s="31"/>
      <c r="O337" s="31"/>
      <c r="P337" s="31"/>
    </row>
    <row r="338" spans="5:16" ht="16.5">
      <c r="E338" s="31"/>
      <c r="F338" s="32"/>
      <c r="G338" s="31"/>
      <c r="H338" s="31"/>
      <c r="I338" s="31"/>
      <c r="J338" s="31"/>
      <c r="K338" s="31"/>
      <c r="L338" s="31"/>
      <c r="M338" s="31"/>
      <c r="N338" s="31"/>
      <c r="O338" s="31"/>
      <c r="P338" s="31"/>
    </row>
    <row r="339" spans="5:16" ht="16.5">
      <c r="E339" s="31"/>
      <c r="F339" s="32"/>
      <c r="G339" s="31"/>
      <c r="H339" s="31"/>
      <c r="I339" s="31"/>
      <c r="J339" s="31"/>
      <c r="K339" s="31"/>
      <c r="L339" s="31"/>
      <c r="M339" s="31"/>
      <c r="N339" s="31"/>
      <c r="O339" s="31"/>
      <c r="P339" s="31"/>
    </row>
    <row r="340" spans="5:16" ht="16.5">
      <c r="E340" s="31"/>
      <c r="F340" s="32"/>
      <c r="G340" s="31"/>
      <c r="H340" s="31"/>
      <c r="I340" s="31"/>
      <c r="J340" s="31"/>
      <c r="K340" s="31"/>
      <c r="L340" s="31"/>
      <c r="M340" s="31"/>
      <c r="N340" s="31"/>
      <c r="O340" s="31"/>
      <c r="P340" s="31"/>
    </row>
    <row r="341" spans="5:16" ht="16.5">
      <c r="E341" s="31"/>
      <c r="F341" s="32"/>
      <c r="G341" s="31"/>
      <c r="H341" s="31"/>
      <c r="I341" s="31"/>
      <c r="J341" s="31"/>
      <c r="K341" s="31"/>
      <c r="L341" s="31"/>
      <c r="M341" s="31"/>
      <c r="N341" s="31"/>
      <c r="O341" s="31"/>
      <c r="P341" s="31"/>
    </row>
    <row r="342" spans="5:16" ht="16.5">
      <c r="E342" s="31"/>
      <c r="F342" s="32"/>
      <c r="G342" s="31"/>
      <c r="H342" s="31"/>
      <c r="I342" s="31"/>
      <c r="J342" s="31"/>
      <c r="K342" s="31"/>
      <c r="L342" s="31"/>
      <c r="M342" s="31"/>
      <c r="N342" s="31"/>
      <c r="O342" s="31"/>
      <c r="P342" s="31"/>
    </row>
    <row r="343" spans="5:16" ht="16.5">
      <c r="E343" s="31"/>
      <c r="F343" s="32"/>
      <c r="G343" s="31"/>
      <c r="H343" s="31"/>
      <c r="I343" s="31"/>
      <c r="J343" s="31"/>
      <c r="K343" s="31"/>
      <c r="L343" s="31"/>
      <c r="M343" s="31"/>
      <c r="N343" s="31"/>
      <c r="O343" s="31"/>
      <c r="P343" s="31"/>
    </row>
    <row r="344" spans="5:16" ht="16.5">
      <c r="E344" s="31"/>
      <c r="F344" s="32"/>
      <c r="G344" s="31"/>
      <c r="H344" s="31"/>
      <c r="I344" s="31"/>
      <c r="J344" s="31"/>
      <c r="K344" s="31"/>
      <c r="L344" s="31"/>
      <c r="M344" s="31"/>
      <c r="N344" s="31"/>
      <c r="O344" s="31"/>
      <c r="P344" s="31"/>
    </row>
    <row r="345" spans="5:16" ht="16.5">
      <c r="E345" s="31"/>
      <c r="F345" s="32"/>
      <c r="G345" s="31"/>
      <c r="H345" s="31"/>
      <c r="I345" s="31"/>
      <c r="J345" s="31"/>
      <c r="K345" s="31"/>
      <c r="L345" s="31"/>
      <c r="M345" s="31"/>
      <c r="N345" s="31"/>
      <c r="O345" s="31"/>
      <c r="P345" s="31"/>
    </row>
    <row r="346" spans="5:16" ht="16.5">
      <c r="E346" s="31"/>
      <c r="F346" s="32"/>
      <c r="G346" s="31"/>
      <c r="H346" s="31"/>
      <c r="I346" s="31"/>
      <c r="J346" s="31"/>
      <c r="K346" s="31"/>
      <c r="L346" s="31"/>
      <c r="M346" s="31"/>
      <c r="N346" s="31"/>
      <c r="O346" s="31"/>
      <c r="P346" s="31"/>
    </row>
    <row r="347" spans="5:16" ht="16.5">
      <c r="E347" s="31"/>
      <c r="F347" s="32"/>
      <c r="G347" s="31"/>
      <c r="H347" s="31"/>
      <c r="I347" s="31"/>
      <c r="J347" s="31"/>
      <c r="K347" s="31"/>
      <c r="L347" s="31"/>
      <c r="M347" s="31"/>
      <c r="N347" s="31"/>
      <c r="O347" s="31"/>
      <c r="P347" s="31"/>
    </row>
    <row r="348" spans="5:16" ht="16.5">
      <c r="E348" s="31"/>
      <c r="F348" s="32"/>
      <c r="G348" s="31"/>
      <c r="H348" s="31"/>
      <c r="I348" s="31"/>
      <c r="J348" s="31"/>
      <c r="K348" s="31"/>
      <c r="L348" s="31"/>
      <c r="M348" s="31"/>
      <c r="N348" s="31"/>
      <c r="O348" s="31"/>
      <c r="P348" s="31"/>
    </row>
    <row r="349" spans="5:16" ht="16.5">
      <c r="E349" s="31"/>
      <c r="F349" s="32"/>
      <c r="G349" s="31"/>
      <c r="H349" s="31"/>
      <c r="I349" s="31"/>
      <c r="J349" s="31"/>
      <c r="K349" s="31"/>
      <c r="L349" s="31"/>
      <c r="M349" s="31"/>
      <c r="N349" s="31"/>
      <c r="O349" s="31"/>
      <c r="P349" s="31"/>
    </row>
    <row r="350" spans="5:16" ht="16.5">
      <c r="E350" s="31"/>
      <c r="F350" s="32"/>
      <c r="G350" s="31"/>
      <c r="H350" s="31"/>
      <c r="I350" s="31"/>
      <c r="J350" s="31"/>
      <c r="K350" s="31"/>
      <c r="L350" s="31"/>
      <c r="M350" s="31"/>
      <c r="N350" s="31"/>
      <c r="O350" s="31"/>
      <c r="P350" s="31"/>
    </row>
    <row r="351" spans="5:16" ht="16.5">
      <c r="E351" s="31"/>
      <c r="F351" s="32"/>
      <c r="G351" s="31"/>
      <c r="H351" s="31"/>
      <c r="I351" s="31"/>
      <c r="J351" s="31"/>
      <c r="K351" s="31"/>
      <c r="L351" s="31"/>
      <c r="M351" s="31"/>
      <c r="N351" s="31"/>
      <c r="O351" s="31"/>
      <c r="P351" s="31"/>
    </row>
    <row r="352" spans="5:16" ht="16.5">
      <c r="E352" s="31"/>
      <c r="F352" s="32"/>
      <c r="G352" s="31"/>
      <c r="H352" s="31"/>
      <c r="I352" s="31"/>
      <c r="J352" s="31"/>
      <c r="K352" s="31"/>
      <c r="L352" s="31"/>
      <c r="M352" s="31"/>
      <c r="N352" s="31"/>
      <c r="O352" s="31"/>
      <c r="P352" s="31"/>
    </row>
    <row r="353" spans="5:16" ht="16.5">
      <c r="E353" s="31"/>
      <c r="F353" s="32"/>
      <c r="G353" s="31"/>
      <c r="H353" s="31"/>
      <c r="I353" s="31"/>
      <c r="J353" s="31"/>
      <c r="K353" s="31"/>
      <c r="L353" s="31"/>
      <c r="M353" s="31"/>
      <c r="N353" s="31"/>
      <c r="O353" s="31"/>
      <c r="P353" s="31"/>
    </row>
    <row r="354" spans="5:16" ht="16.5">
      <c r="E354" s="31"/>
      <c r="F354" s="32"/>
      <c r="G354" s="31"/>
      <c r="H354" s="31"/>
      <c r="I354" s="31"/>
      <c r="J354" s="31"/>
      <c r="K354" s="31"/>
      <c r="L354" s="31"/>
      <c r="M354" s="31"/>
      <c r="N354" s="31"/>
      <c r="O354" s="31"/>
      <c r="P354" s="31"/>
    </row>
    <row r="355" spans="5:16" ht="16.5">
      <c r="E355" s="31"/>
      <c r="F355" s="32"/>
      <c r="G355" s="31"/>
      <c r="H355" s="31"/>
      <c r="I355" s="31"/>
      <c r="J355" s="31"/>
      <c r="K355" s="31"/>
      <c r="L355" s="31"/>
      <c r="M355" s="31"/>
      <c r="N355" s="31"/>
      <c r="O355" s="31"/>
      <c r="P355" s="31"/>
    </row>
    <row r="356" spans="5:16" ht="16.5">
      <c r="E356" s="31"/>
      <c r="F356" s="32"/>
      <c r="G356" s="31"/>
      <c r="H356" s="31"/>
      <c r="I356" s="31"/>
      <c r="J356" s="31"/>
      <c r="K356" s="31"/>
      <c r="L356" s="31"/>
      <c r="M356" s="31"/>
      <c r="N356" s="31"/>
      <c r="O356" s="31"/>
      <c r="P356" s="31"/>
    </row>
    <row r="357" spans="5:16" ht="16.5">
      <c r="E357" s="31"/>
      <c r="F357" s="32"/>
      <c r="G357" s="31"/>
      <c r="H357" s="31"/>
      <c r="I357" s="31"/>
      <c r="J357" s="31"/>
      <c r="K357" s="31"/>
      <c r="L357" s="31"/>
      <c r="M357" s="31"/>
      <c r="N357" s="31"/>
      <c r="O357" s="31"/>
      <c r="P357" s="31"/>
    </row>
    <row r="358" spans="5:16" ht="16.5">
      <c r="E358" s="31"/>
      <c r="F358" s="32"/>
      <c r="G358" s="31"/>
      <c r="H358" s="31"/>
      <c r="I358" s="31"/>
      <c r="J358" s="31"/>
      <c r="K358" s="31"/>
      <c r="L358" s="31"/>
      <c r="M358" s="31"/>
      <c r="N358" s="31"/>
      <c r="O358" s="31"/>
      <c r="P358" s="31"/>
    </row>
    <row r="359" spans="5:16" ht="16.5">
      <c r="E359" s="31"/>
      <c r="F359" s="32"/>
      <c r="G359" s="31"/>
      <c r="H359" s="31"/>
      <c r="I359" s="31"/>
      <c r="J359" s="31"/>
      <c r="K359" s="31"/>
      <c r="L359" s="31"/>
      <c r="M359" s="31"/>
      <c r="N359" s="31"/>
      <c r="O359" s="31"/>
      <c r="P359" s="31"/>
    </row>
    <row r="360" spans="5:16" ht="16.5">
      <c r="E360" s="31"/>
      <c r="F360" s="32"/>
      <c r="G360" s="31"/>
      <c r="H360" s="31"/>
      <c r="I360" s="31"/>
      <c r="J360" s="31"/>
      <c r="K360" s="31"/>
      <c r="L360" s="31"/>
      <c r="M360" s="31"/>
      <c r="N360" s="31"/>
      <c r="O360" s="31"/>
      <c r="P360" s="31"/>
    </row>
    <row r="361" spans="5:16" ht="16.5">
      <c r="E361" s="31"/>
      <c r="F361" s="32"/>
      <c r="G361" s="31"/>
      <c r="H361" s="31"/>
      <c r="I361" s="31"/>
      <c r="J361" s="31"/>
      <c r="K361" s="31"/>
      <c r="L361" s="31"/>
      <c r="M361" s="31"/>
      <c r="N361" s="31"/>
      <c r="O361" s="31"/>
      <c r="P361" s="31"/>
    </row>
    <row r="362" spans="5:16" ht="16.5">
      <c r="E362" s="31"/>
      <c r="F362" s="32"/>
      <c r="G362" s="31"/>
      <c r="H362" s="31"/>
      <c r="I362" s="31"/>
      <c r="J362" s="31"/>
      <c r="K362" s="31"/>
      <c r="L362" s="31"/>
      <c r="M362" s="31"/>
      <c r="N362" s="31"/>
      <c r="O362" s="31"/>
      <c r="P362" s="31"/>
    </row>
    <row r="363" spans="5:16" ht="16.5">
      <c r="E363" s="31"/>
      <c r="F363" s="32"/>
      <c r="G363" s="31"/>
      <c r="H363" s="31"/>
      <c r="I363" s="31"/>
      <c r="J363" s="31"/>
      <c r="K363" s="31"/>
      <c r="L363" s="31"/>
      <c r="M363" s="31"/>
      <c r="N363" s="31"/>
      <c r="O363" s="31"/>
      <c r="P363" s="31"/>
    </row>
    <row r="364" spans="5:16" ht="16.5">
      <c r="E364" s="31"/>
      <c r="F364" s="32"/>
      <c r="G364" s="31"/>
      <c r="H364" s="31"/>
      <c r="I364" s="31"/>
      <c r="J364" s="31"/>
      <c r="K364" s="31"/>
      <c r="L364" s="31"/>
      <c r="M364" s="31"/>
      <c r="N364" s="31"/>
      <c r="O364" s="31"/>
      <c r="P364" s="31"/>
    </row>
    <row r="365" spans="5:16" ht="16.5">
      <c r="E365" s="31"/>
      <c r="F365" s="32"/>
      <c r="G365" s="31"/>
      <c r="H365" s="31"/>
      <c r="I365" s="31"/>
      <c r="J365" s="31"/>
      <c r="K365" s="31"/>
      <c r="L365" s="31"/>
      <c r="M365" s="31"/>
      <c r="N365" s="31"/>
      <c r="O365" s="31"/>
      <c r="P365" s="31"/>
    </row>
    <row r="366" spans="5:16" ht="16.5">
      <c r="E366" s="31"/>
      <c r="F366" s="32"/>
      <c r="G366" s="31"/>
      <c r="H366" s="31"/>
      <c r="I366" s="31"/>
      <c r="J366" s="31"/>
      <c r="K366" s="31"/>
      <c r="L366" s="31"/>
      <c r="M366" s="31"/>
      <c r="N366" s="31"/>
      <c r="O366" s="31"/>
      <c r="P366" s="31"/>
    </row>
    <row r="367" spans="5:16" ht="16.5">
      <c r="E367" s="31"/>
      <c r="F367" s="32"/>
      <c r="G367" s="31"/>
      <c r="H367" s="31"/>
      <c r="I367" s="31"/>
      <c r="J367" s="31"/>
      <c r="K367" s="31"/>
      <c r="L367" s="31"/>
      <c r="M367" s="31"/>
      <c r="N367" s="31"/>
      <c r="O367" s="31"/>
      <c r="P367" s="31"/>
    </row>
    <row r="368" spans="5:16" ht="16.5">
      <c r="E368" s="31"/>
      <c r="F368" s="32"/>
      <c r="G368" s="31"/>
      <c r="H368" s="31"/>
      <c r="I368" s="31"/>
      <c r="J368" s="31"/>
      <c r="K368" s="31"/>
      <c r="L368" s="31"/>
      <c r="M368" s="31"/>
      <c r="N368" s="31"/>
      <c r="O368" s="31"/>
      <c r="P368" s="31"/>
    </row>
    <row r="369" spans="5:16" ht="16.5">
      <c r="E369" s="31"/>
      <c r="F369" s="32"/>
      <c r="G369" s="31"/>
      <c r="H369" s="31"/>
      <c r="I369" s="31"/>
      <c r="J369" s="31"/>
      <c r="K369" s="31"/>
      <c r="L369" s="31"/>
      <c r="M369" s="31"/>
      <c r="N369" s="31"/>
      <c r="O369" s="31"/>
      <c r="P369" s="31"/>
    </row>
    <row r="370" spans="5:16" ht="16.5">
      <c r="E370" s="31"/>
      <c r="F370" s="32"/>
      <c r="G370" s="31"/>
      <c r="H370" s="31"/>
      <c r="I370" s="31"/>
      <c r="J370" s="31"/>
      <c r="K370" s="31"/>
      <c r="L370" s="31"/>
      <c r="M370" s="31"/>
      <c r="N370" s="31"/>
      <c r="O370" s="31"/>
      <c r="P370" s="31"/>
    </row>
    <row r="371" spans="5:16" ht="16.5">
      <c r="E371" s="31"/>
      <c r="F371" s="32"/>
      <c r="G371" s="31"/>
      <c r="H371" s="31"/>
      <c r="I371" s="31"/>
      <c r="J371" s="31"/>
      <c r="K371" s="31"/>
      <c r="L371" s="31"/>
      <c r="M371" s="31"/>
      <c r="N371" s="31"/>
      <c r="O371" s="31"/>
      <c r="P371" s="31"/>
    </row>
    <row r="372" spans="5:16" ht="16.5">
      <c r="E372" s="31"/>
      <c r="F372" s="32"/>
      <c r="G372" s="31"/>
      <c r="H372" s="31"/>
      <c r="I372" s="31"/>
      <c r="J372" s="31"/>
      <c r="K372" s="31"/>
      <c r="L372" s="31"/>
      <c r="M372" s="31"/>
      <c r="N372" s="31"/>
      <c r="O372" s="31"/>
      <c r="P372" s="31"/>
    </row>
    <row r="373" spans="5:16" ht="16.5">
      <c r="E373" s="31"/>
      <c r="F373" s="32"/>
      <c r="G373" s="31"/>
      <c r="H373" s="31"/>
      <c r="I373" s="31"/>
      <c r="J373" s="31"/>
      <c r="K373" s="31"/>
      <c r="L373" s="31"/>
      <c r="M373" s="31"/>
      <c r="N373" s="31"/>
      <c r="O373" s="31"/>
      <c r="P373" s="31"/>
    </row>
  </sheetData>
  <mergeCells count="36">
    <mergeCell ref="AC38:AG38"/>
    <mergeCell ref="A31:C31"/>
    <mergeCell ref="A32:C32"/>
    <mergeCell ref="S37:AA37"/>
    <mergeCell ref="A38:E38"/>
    <mergeCell ref="S38:W38"/>
    <mergeCell ref="X38:AB38"/>
    <mergeCell ref="A26:C26"/>
    <mergeCell ref="A27:C27"/>
    <mergeCell ref="A29:C29"/>
    <mergeCell ref="A30:C30"/>
    <mergeCell ref="A21:C21"/>
    <mergeCell ref="A22:C22"/>
    <mergeCell ref="A23:C23"/>
    <mergeCell ref="A24:C24"/>
    <mergeCell ref="A18:C18"/>
    <mergeCell ref="H18:I19"/>
    <mergeCell ref="A19:C19"/>
    <mergeCell ref="A20:C20"/>
    <mergeCell ref="A14:C14"/>
    <mergeCell ref="H15:H16"/>
    <mergeCell ref="A16:C16"/>
    <mergeCell ref="N16:N17"/>
    <mergeCell ref="A10:C10"/>
    <mergeCell ref="A11:C11"/>
    <mergeCell ref="A12:C12"/>
    <mergeCell ref="H12:H13"/>
    <mergeCell ref="A13:C13"/>
    <mergeCell ref="A7:C7"/>
    <mergeCell ref="H7:I8"/>
    <mergeCell ref="A8:C8"/>
    <mergeCell ref="A9:C9"/>
    <mergeCell ref="A3:C3"/>
    <mergeCell ref="A4:C4"/>
    <mergeCell ref="A5:C5"/>
    <mergeCell ref="A6:C6"/>
  </mergeCells>
  <printOptions/>
  <pageMargins left="0.75" right="0.75" top="1" bottom="1" header="0.5" footer="0.5"/>
  <pageSetup horizontalDpi="600" verticalDpi="600" orientation="landscape" r:id="rId6"/>
  <drawing r:id="rId5"/>
  <legacyDrawing r:id="rId4"/>
  <oleObjects>
    <oleObject progId="Mathcad" shapeId="142970" r:id="rId1"/>
    <oleObject progId="Mathcad" shapeId="142971" r:id="rId2"/>
    <oleObject progId="Mathcad" shapeId="14297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2003-10-19T02:32:11Z</cp:lastPrinted>
  <dcterms:created xsi:type="dcterms:W3CDTF">1999-02-19T18:19:08Z</dcterms:created>
  <dcterms:modified xsi:type="dcterms:W3CDTF">2004-03-31T21:42:46Z</dcterms:modified>
  <cp:category/>
  <cp:version/>
  <cp:contentType/>
  <cp:contentStatus/>
</cp:coreProperties>
</file>