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491" windowWidth="7695" windowHeight="9045" tabRatio="677" activeTab="0"/>
  </bookViews>
  <sheets>
    <sheet name="Sum'ry" sheetId="1" r:id="rId1"/>
    <sheet name="expt" sheetId="2" r:id="rId2"/>
    <sheet name="0.5T" sheetId="3" r:id="rId3"/>
    <sheet name="1T" sheetId="4" r:id="rId4"/>
    <sheet name="2T" sheetId="5" r:id="rId5"/>
    <sheet name="3.08T" sheetId="6" r:id="rId6"/>
    <sheet name="4T" sheetId="7" r:id="rId7"/>
    <sheet name="4T (2)" sheetId="8" r:id="rId8"/>
  </sheets>
  <definedNames/>
  <calcPr fullCalcOnLoad="1"/>
</workbook>
</file>

<file path=xl/sharedStrings.xml><?xml version="1.0" encoding="utf-8"?>
<sst xmlns="http://schemas.openxmlformats.org/spreadsheetml/2006/main" count="1249" uniqueCount="217">
  <si>
    <t>cable half width a</t>
  </si>
  <si>
    <t>cable half thickness b</t>
  </si>
  <si>
    <t>cable twist pitch</t>
  </si>
  <si>
    <t>b</t>
  </si>
  <si>
    <t>p</t>
  </si>
  <si>
    <t>crossover resistance</t>
  </si>
  <si>
    <t>Rc</t>
  </si>
  <si>
    <t>m</t>
  </si>
  <si>
    <t>ohm</t>
  </si>
  <si>
    <t>number of strands</t>
  </si>
  <si>
    <t>N</t>
  </si>
  <si>
    <t>adjacent resistance</t>
  </si>
  <si>
    <t>Ra</t>
  </si>
  <si>
    <t>ohm.m</t>
  </si>
  <si>
    <t>henry/m</t>
  </si>
  <si>
    <t>sec</t>
  </si>
  <si>
    <t xml:space="preserve">    </t>
  </si>
  <si>
    <t>cable filling factor</t>
  </si>
  <si>
    <t>wire filling factor</t>
  </si>
  <si>
    <t>lw</t>
  </si>
  <si>
    <t>filament filling factor</t>
  </si>
  <si>
    <t>Tesla</t>
  </si>
  <si>
    <t>computed aperture field</t>
  </si>
  <si>
    <t>ramp time</t>
  </si>
  <si>
    <t>angle</t>
  </si>
  <si>
    <t>B trans</t>
  </si>
  <si>
    <t>G trans</t>
  </si>
  <si>
    <t>B parl</t>
  </si>
  <si>
    <t>B` trans</t>
  </si>
  <si>
    <t>Bmod</t>
  </si>
  <si>
    <t>Ptc</t>
  </si>
  <si>
    <t>Pta</t>
  </si>
  <si>
    <t>Pp</t>
  </si>
  <si>
    <t>Pf</t>
  </si>
  <si>
    <t>filament diameter</t>
  </si>
  <si>
    <t>m^2</t>
  </si>
  <si>
    <t>G` trans</t>
  </si>
  <si>
    <t>B` parl</t>
  </si>
  <si>
    <t>B`mod</t>
  </si>
  <si>
    <t xml:space="preserve">Kim Anderson </t>
  </si>
  <si>
    <t>A/m^2</t>
  </si>
  <si>
    <t>Ps</t>
  </si>
  <si>
    <t>Pd</t>
  </si>
  <si>
    <t>Block limits for integration</t>
  </si>
  <si>
    <t>block</t>
  </si>
  <si>
    <t>wire twist pitch</t>
  </si>
  <si>
    <t xml:space="preserve"> dc fields as computed at centre of cable</t>
  </si>
  <si>
    <t>A/m^2/T</t>
  </si>
  <si>
    <t>Bcomp</t>
  </si>
  <si>
    <t>metre</t>
  </si>
  <si>
    <t>length of magnet =</t>
  </si>
  <si>
    <t>ramp rate</t>
  </si>
  <si>
    <t>T/s</t>
  </si>
  <si>
    <t>B`</t>
  </si>
  <si>
    <t>turn area per degree =</t>
  </si>
  <si>
    <t>cycle time =</t>
  </si>
  <si>
    <t>Tr</t>
  </si>
  <si>
    <t>maximum =</t>
  </si>
  <si>
    <r>
      <t>l</t>
    </r>
    <r>
      <rPr>
        <sz val="11"/>
        <rFont val="Arial Narrow"/>
        <family val="2"/>
      </rPr>
      <t>c</t>
    </r>
  </si>
  <si>
    <r>
      <t>l</t>
    </r>
    <r>
      <rPr>
        <sz val="11"/>
        <rFont val="Arial"/>
        <family val="2"/>
      </rPr>
      <t>f</t>
    </r>
  </si>
  <si>
    <r>
      <t>J</t>
    </r>
    <r>
      <rPr>
        <vertAlign val="subscript"/>
        <sz val="11"/>
        <rFont val="Arial"/>
        <family val="2"/>
      </rPr>
      <t>o</t>
    </r>
  </si>
  <si>
    <r>
      <t>B</t>
    </r>
    <r>
      <rPr>
        <vertAlign val="subscript"/>
        <sz val="11"/>
        <rFont val="Arial"/>
        <family val="2"/>
      </rPr>
      <t>o</t>
    </r>
  </si>
  <si>
    <r>
      <t>min</t>
    </r>
    <r>
      <rPr>
        <sz val="11"/>
        <rFont val="Symbol"/>
        <family val="1"/>
      </rPr>
      <t xml:space="preserve"> f</t>
    </r>
  </si>
  <si>
    <r>
      <t>max</t>
    </r>
    <r>
      <rPr>
        <sz val="11"/>
        <rFont val="Symbol"/>
        <family val="1"/>
      </rPr>
      <t xml:space="preserve"> f</t>
    </r>
  </si>
  <si>
    <r>
      <t>A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</si>
  <si>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1</t>
    </r>
  </si>
  <si>
    <t>ramp ratio Bi / Be</t>
  </si>
  <si>
    <t>ramping/average factor</t>
  </si>
  <si>
    <t>fh</t>
  </si>
  <si>
    <t>matrix ratio</t>
  </si>
  <si>
    <t>mat</t>
  </si>
  <si>
    <t>Hysteresis detail</t>
  </si>
  <si>
    <t>fields in 5 sections of cable</t>
  </si>
  <si>
    <t>Hyst loss powers in 5 sections of cable</t>
  </si>
  <si>
    <t>B1</t>
  </si>
  <si>
    <t>B2</t>
  </si>
  <si>
    <t>B3</t>
  </si>
  <si>
    <t>B4</t>
  </si>
  <si>
    <t>B5</t>
  </si>
  <si>
    <t>Ph1</t>
  </si>
  <si>
    <t>Ph2</t>
  </si>
  <si>
    <t>Ph3</t>
  </si>
  <si>
    <t>Ph4</t>
  </si>
  <si>
    <t>Ph5</t>
  </si>
  <si>
    <t>Binj</t>
  </si>
  <si>
    <t>Joules</t>
  </si>
  <si>
    <t>Bmax</t>
  </si>
  <si>
    <t>Iext</t>
  </si>
  <si>
    <t>Bext</t>
  </si>
  <si>
    <t>Iinj</t>
  </si>
  <si>
    <t>n =</t>
  </si>
  <si>
    <t>Amp</t>
  </si>
  <si>
    <t>calc hyst &amp; prox'y loss at 5 points in cable</t>
  </si>
  <si>
    <t>max magnet current</t>
  </si>
  <si>
    <t>max aperture field</t>
  </si>
  <si>
    <t>min magnet current</t>
  </si>
  <si>
    <t>min aperture field</t>
  </si>
  <si>
    <t>A</t>
  </si>
  <si>
    <t>C</t>
  </si>
  <si>
    <t>D</t>
  </si>
  <si>
    <t>g</t>
  </si>
  <si>
    <t xml:space="preserve">1) Iron loss from Carsten2.xls </t>
  </si>
  <si>
    <t>fitted to</t>
  </si>
  <si>
    <r>
      <t>D</t>
    </r>
    <r>
      <rPr>
        <sz val="10"/>
        <rFont val="Arial"/>
        <family val="0"/>
      </rPr>
      <t>B</t>
    </r>
  </si>
  <si>
    <t>dB/dt</t>
  </si>
  <si>
    <t>0.67 T</t>
  </si>
  <si>
    <t>1 T</t>
  </si>
  <si>
    <t>3.08 T</t>
  </si>
  <si>
    <t>3.6 T</t>
  </si>
  <si>
    <t>4 T</t>
  </si>
  <si>
    <t>m, Std. Error</t>
  </si>
  <si>
    <t>crossover transverse power</t>
  </si>
  <si>
    <t>adjacent transverse power</t>
  </si>
  <si>
    <t>adjacent parallel power</t>
  </si>
  <si>
    <t>filament coupling power</t>
  </si>
  <si>
    <t>proximity power</t>
  </si>
  <si>
    <t>dPht1</t>
  </si>
  <si>
    <t>dPht2</t>
  </si>
  <si>
    <t>dPht3</t>
  </si>
  <si>
    <t>dPht4</t>
  </si>
  <si>
    <t>dPht5</t>
  </si>
  <si>
    <t>ohm.m/T</t>
  </si>
  <si>
    <t>wire trans res'y intercept</t>
  </si>
  <si>
    <t>wire trans res'y gradient</t>
  </si>
  <si>
    <r>
      <t>C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</si>
  <si>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r>
      <t>m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</si>
  <si>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r>
      <t>p</t>
    </r>
    <r>
      <rPr>
        <vertAlign val="subscript"/>
        <sz val="11"/>
        <rFont val="Arial"/>
        <family val="2"/>
      </rPr>
      <t>w</t>
    </r>
  </si>
  <si>
    <r>
      <t>d</t>
    </r>
    <r>
      <rPr>
        <vertAlign val="subscript"/>
        <sz val="11"/>
        <rFont val="Arial"/>
        <family val="2"/>
      </rPr>
      <t>f</t>
    </r>
  </si>
  <si>
    <t>cook factor trans Ra</t>
  </si>
  <si>
    <t>cook factor trans Rc</t>
  </si>
  <si>
    <t>cook factor par'l Ra</t>
  </si>
  <si>
    <t>cook factor hysteresis</t>
  </si>
  <si>
    <t>ftc</t>
  </si>
  <si>
    <t>fta</t>
  </si>
  <si>
    <t>fpa</t>
  </si>
  <si>
    <t>hysteresis power</t>
  </si>
  <si>
    <t>transport current  correction</t>
  </si>
  <si>
    <t xml:space="preserve">Mod'd Kim Anderson </t>
  </si>
  <si>
    <r>
      <t>J</t>
    </r>
    <r>
      <rPr>
        <vertAlign val="subscript"/>
        <sz val="11"/>
        <rFont val="Arial"/>
        <family val="2"/>
      </rPr>
      <t>so</t>
    </r>
  </si>
  <si>
    <r>
      <t>B</t>
    </r>
    <r>
      <rPr>
        <vertAlign val="subscript"/>
        <sz val="11"/>
        <rFont val="Arial"/>
        <family val="2"/>
      </rPr>
      <t>so</t>
    </r>
  </si>
  <si>
    <t>c</t>
  </si>
  <si>
    <t xml:space="preserve">actual ramp rates and field </t>
  </si>
  <si>
    <t>transp cur correction in 5 sections</t>
  </si>
  <si>
    <t>components of loss per unit volume of winding</t>
  </si>
  <si>
    <t>sum of</t>
  </si>
  <si>
    <t>average</t>
  </si>
  <si>
    <r>
      <t>f</t>
    </r>
    <r>
      <rPr>
        <vertAlign val="subscript"/>
        <sz val="11"/>
        <rFont val="Arial Narrow"/>
        <family val="2"/>
      </rPr>
      <t>r</t>
    </r>
  </si>
  <si>
    <t>DB</t>
  </si>
  <si>
    <t>0.31 T</t>
  </si>
  <si>
    <t>Summary of Richard Thomas Results</t>
  </si>
  <si>
    <t>abbreviated version of sheet 'Bdot fits' from GSI001L123.xls</t>
  </si>
  <si>
    <t>Q J/cycle</t>
  </si>
  <si>
    <r>
      <t>D</t>
    </r>
    <r>
      <rPr>
        <sz val="10"/>
        <rFont val="Arial"/>
        <family val="0"/>
      </rPr>
      <t>B =</t>
    </r>
  </si>
  <si>
    <t>1.9T</t>
  </si>
  <si>
    <t>2.0T</t>
  </si>
  <si>
    <t>total loss/m^3</t>
  </si>
  <si>
    <t>% of total loss/m^3</t>
  </si>
  <si>
    <t>loss/m/</t>
  </si>
  <si>
    <t>sum of segment loss/m</t>
  </si>
  <si>
    <t>power</t>
  </si>
  <si>
    <t>ramping</t>
  </si>
  <si>
    <t>mean</t>
  </si>
  <si>
    <t>Watts</t>
  </si>
  <si>
    <t>loss/</t>
  </si>
  <si>
    <t>cycle</t>
  </si>
  <si>
    <t>parallel adjacent</t>
  </si>
  <si>
    <t>filament coupling</t>
  </si>
  <si>
    <t>hysteresis</t>
  </si>
  <si>
    <t>transv'se adjacent</t>
  </si>
  <si>
    <t>fraction</t>
  </si>
  <si>
    <t>of total</t>
  </si>
  <si>
    <t>%</t>
  </si>
  <si>
    <t>load line fitting</t>
  </si>
  <si>
    <t>segm't</t>
  </si>
  <si>
    <t>Ph</t>
  </si>
  <si>
    <r>
      <t xml:space="preserve"> D</t>
    </r>
    <r>
      <rPr>
        <sz val="11"/>
        <rFont val="Arial Narrow"/>
        <family val="2"/>
      </rPr>
      <t>Ph</t>
    </r>
  </si>
  <si>
    <r>
      <t>loss/m</t>
    </r>
    <r>
      <rPr>
        <vertAlign val="superscript"/>
        <sz val="11"/>
        <rFont val="Arial Narrow"/>
        <family val="2"/>
      </rPr>
      <t>3</t>
    </r>
  </si>
  <si>
    <t xml:space="preserve">delta hysteresis </t>
  </si>
  <si>
    <t>total hysteresis</t>
  </si>
  <si>
    <t>total magnet</t>
  </si>
  <si>
    <t>std error</t>
  </si>
  <si>
    <r>
      <t xml:space="preserve">Gradient Loss / B` versus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B</t>
    </r>
  </si>
  <si>
    <t xml:space="preserve">data from GSI001LI123.xls  sheet Bdotfits </t>
  </si>
  <si>
    <r>
      <t xml:space="preserve">Intercept  Loss / B` versus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B = hystersis</t>
    </r>
  </si>
  <si>
    <t>T</t>
  </si>
  <si>
    <t>Joule/ cycle</t>
  </si>
  <si>
    <t>Summary of theory results + fitted iron loss</t>
  </si>
  <si>
    <t>J/(T/s)</t>
  </si>
  <si>
    <r>
      <t>C</t>
    </r>
    <r>
      <rPr>
        <vertAlign val="subscript"/>
        <sz val="11"/>
        <rFont val="Arial Narrow"/>
        <family val="2"/>
      </rPr>
      <t>L</t>
    </r>
    <r>
      <rPr>
        <sz val="11"/>
        <rFont val="Arial Narrow"/>
        <family val="2"/>
      </rPr>
      <t xml:space="preserve"> =</t>
    </r>
  </si>
  <si>
    <r>
      <t>D</t>
    </r>
    <r>
      <rPr>
        <vertAlign val="subscript"/>
        <sz val="11"/>
        <rFont val="Arial Narrow"/>
        <family val="2"/>
      </rPr>
      <t>L</t>
    </r>
    <r>
      <rPr>
        <sz val="11"/>
        <rFont val="Arial Narrow"/>
        <family val="2"/>
      </rPr>
      <t xml:space="preserve"> =</t>
    </r>
  </si>
  <si>
    <t>2) Magnet loss vs B` GSI-4</t>
  </si>
  <si>
    <t>wire radius</t>
  </si>
  <si>
    <r>
      <t>a</t>
    </r>
    <r>
      <rPr>
        <vertAlign val="subscript"/>
        <sz val="11"/>
        <rFont val="Arial Narrow"/>
        <family val="2"/>
      </rPr>
      <t>w</t>
    </r>
  </si>
  <si>
    <t>radius of fil't boundary</t>
  </si>
  <si>
    <r>
      <t>a</t>
    </r>
    <r>
      <rPr>
        <vertAlign val="subscript"/>
        <sz val="11"/>
        <rFont val="Arial Narrow"/>
        <family val="2"/>
      </rPr>
      <t>fb</t>
    </r>
  </si>
  <si>
    <t>filament coupling term includes magnetoresistance and is defined over filament boundary</t>
  </si>
  <si>
    <t>no proximity coupling</t>
  </si>
  <si>
    <t>mm</t>
  </si>
  <si>
    <t>with transport current term in hysteresis loss</t>
  </si>
  <si>
    <t>Be =</t>
  </si>
  <si>
    <t xml:space="preserve">T  </t>
  </si>
  <si>
    <t>dB/dt =</t>
  </si>
  <si>
    <t>transv'se cr'sover</t>
  </si>
  <si>
    <t>permeability free space</t>
  </si>
  <si>
    <r>
      <t>m</t>
    </r>
    <r>
      <rPr>
        <vertAlign val="subscript"/>
        <sz val="11"/>
        <rFont val="Arial Narrow"/>
        <family val="2"/>
      </rPr>
      <t>o</t>
    </r>
  </si>
  <si>
    <t>Appendix 22-3(1): Calculation of Magnet Losses</t>
  </si>
  <si>
    <t>hyst-eresis loss Qh</t>
  </si>
  <si>
    <t>total sup'r loss Qs</t>
  </si>
  <si>
    <t>Iron loss Qi</t>
  </si>
  <si>
    <t>total magnet loss Qm</t>
  </si>
  <si>
    <t>magnet hyst's loss Qhm</t>
  </si>
  <si>
    <t>B` =</t>
  </si>
  <si>
    <t>gradient (Qm-Qhm)  / B`</t>
  </si>
  <si>
    <t>fitting detail in Rep 14(4)</t>
  </si>
  <si>
    <t>iron</t>
  </si>
  <si>
    <t>total</t>
  </si>
  <si>
    <t>data for Rep 24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</si>
</sst>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E+00"/>
    <numFmt numFmtId="167" formatCode="0.0%"/>
    <numFmt numFmtId="168" formatCode="0.0"/>
    <numFmt numFmtId="169" formatCode="0.E+00"/>
    <numFmt numFmtId="170" formatCode="0.0E+00"/>
    <numFmt numFmtId="171" formatCode="0.000000"/>
    <numFmt numFmtId="172" formatCode="0.000000000"/>
    <numFmt numFmtId="173" formatCode="0.00000"/>
    <numFmt numFmtId="174" formatCode="&quot;£&quot;#,##0.000"/>
    <numFmt numFmtId="175" formatCode="#,##0.000"/>
    <numFmt numFmtId="176" formatCode="#,##0.0000"/>
  </numFmts>
  <fonts count="21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name val="Symbol"/>
      <family val="1"/>
    </font>
    <font>
      <vertAlign val="subscript"/>
      <sz val="11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vertAlign val="subscript"/>
      <sz val="11"/>
      <name val="Symbol"/>
      <family val="1"/>
    </font>
    <font>
      <vertAlign val="subscript"/>
      <sz val="11"/>
      <name val="Arial Narrow"/>
      <family val="2"/>
    </font>
    <font>
      <vertAlign val="superscript"/>
      <sz val="11"/>
      <name val="Arial Narrow"/>
      <family val="2"/>
    </font>
    <font>
      <sz val="8.75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1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1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170" fontId="6" fillId="0" borderId="4" xfId="0" applyNumberFormat="1" applyFont="1" applyBorder="1" applyAlignment="1">
      <alignment horizontal="center"/>
    </xf>
    <xf numFmtId="11" fontId="6" fillId="0" borderId="2" xfId="0" applyNumberFormat="1" applyFont="1" applyBorder="1" applyAlignment="1">
      <alignment horizontal="center"/>
    </xf>
    <xf numFmtId="11" fontId="6" fillId="0" borderId="4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0" fillId="0" borderId="0" xfId="0" applyNumberFormat="1" applyAlignment="1">
      <alignment horizontal="left" wrapText="1"/>
    </xf>
    <xf numFmtId="2" fontId="11" fillId="0" borderId="9" xfId="0" applyNumberFormat="1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170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left"/>
    </xf>
    <xf numFmtId="168" fontId="2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7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left"/>
    </xf>
    <xf numFmtId="2" fontId="0" fillId="0" borderId="8" xfId="0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2" fontId="0" fillId="0" borderId="8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2" fontId="0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2" fontId="9" fillId="0" borderId="0" xfId="0" applyNumberFormat="1" applyFont="1" applyAlignment="1">
      <alignment horizontal="left"/>
    </xf>
    <xf numFmtId="1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170" fontId="0" fillId="0" borderId="0" xfId="0" applyNumberFormat="1" applyBorder="1" applyAlignment="1">
      <alignment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1" fontId="0" fillId="0" borderId="0" xfId="0" applyNumberFormat="1" applyAlignment="1">
      <alignment horizontal="center"/>
    </xf>
    <xf numFmtId="0" fontId="0" fillId="0" borderId="0" xfId="0" applyAlignment="1">
      <alignment/>
    </xf>
    <xf numFmtId="11" fontId="6" fillId="0" borderId="7" xfId="0" applyNumberFormat="1" applyFont="1" applyBorder="1" applyAlignment="1">
      <alignment horizontal="center"/>
    </xf>
    <xf numFmtId="11" fontId="6" fillId="0" borderId="8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0" fontId="6" fillId="0" borderId="7" xfId="0" applyNumberFormat="1" applyFont="1" applyBorder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11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6375"/>
          <c:h val="0.969"/>
        </c:manualLayout>
      </c:layout>
      <c:scatterChart>
        <c:scatterStyle val="smoothMarker"/>
        <c:varyColors val="0"/>
        <c:ser>
          <c:idx val="0"/>
          <c:order val="0"/>
          <c:tx>
            <c:v>1T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expt!$G$7:$G$20</c:f>
              <c:numCache>
                <c:ptCount val="14"/>
                <c:pt idx="0">
                  <c:v>1.87725630618</c:v>
                </c:pt>
                <c:pt idx="1">
                  <c:v>1.87736953695</c:v>
                </c:pt>
                <c:pt idx="2">
                  <c:v>1.87728712345</c:v>
                </c:pt>
                <c:pt idx="3">
                  <c:v>1.87724820281</c:v>
                </c:pt>
                <c:pt idx="4">
                  <c:v>2.83131660538</c:v>
                </c:pt>
                <c:pt idx="5">
                  <c:v>2.83410735106</c:v>
                </c:pt>
                <c:pt idx="6">
                  <c:v>2.8276488407</c:v>
                </c:pt>
                <c:pt idx="7">
                  <c:v>2.79652713203</c:v>
                </c:pt>
                <c:pt idx="8">
                  <c:v>2.82775606348</c:v>
                </c:pt>
                <c:pt idx="9">
                  <c:v>2.83613691563</c:v>
                </c:pt>
                <c:pt idx="10">
                  <c:v>2.8277695042</c:v>
                </c:pt>
                <c:pt idx="11">
                  <c:v>3.75358290392</c:v>
                </c:pt>
                <c:pt idx="12">
                  <c:v>3.74584962265</c:v>
                </c:pt>
                <c:pt idx="13">
                  <c:v>3.74990473649</c:v>
                </c:pt>
              </c:numCache>
            </c:numRef>
          </c:xVal>
          <c:yVal>
            <c:numRef>
              <c:f>expt!$H$7:$H$20</c:f>
              <c:numCache>
                <c:ptCount val="14"/>
                <c:pt idx="0">
                  <c:v>20.6185921535</c:v>
                </c:pt>
                <c:pt idx="1">
                  <c:v>20.9512563695</c:v>
                </c:pt>
                <c:pt idx="2">
                  <c:v>21.0651500308</c:v>
                </c:pt>
                <c:pt idx="3">
                  <c:v>21.5036242275</c:v>
                </c:pt>
                <c:pt idx="4">
                  <c:v>23.220836102</c:v>
                </c:pt>
                <c:pt idx="5">
                  <c:v>23.5839579082</c:v>
                </c:pt>
                <c:pt idx="6">
                  <c:v>23.9470327653</c:v>
                </c:pt>
                <c:pt idx="7">
                  <c:v>24.0164588793</c:v>
                </c:pt>
                <c:pt idx="8">
                  <c:v>24.3031478049</c:v>
                </c:pt>
                <c:pt idx="9">
                  <c:v>24.4894156076</c:v>
                </c:pt>
                <c:pt idx="10">
                  <c:v>24.4999383287</c:v>
                </c:pt>
                <c:pt idx="11">
                  <c:v>25.4906532387</c:v>
                </c:pt>
                <c:pt idx="12">
                  <c:v>25.8265090711</c:v>
                </c:pt>
                <c:pt idx="13">
                  <c:v>26.1855764496</c:v>
                </c:pt>
              </c:numCache>
            </c:numRef>
          </c:yVal>
          <c:smooth val="1"/>
        </c:ser>
        <c:ser>
          <c:idx val="2"/>
          <c:order val="1"/>
          <c:tx>
            <c:v>2T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expt!$M$7:$M$25</c:f>
              <c:numCache>
                <c:ptCount val="19"/>
                <c:pt idx="0">
                  <c:v>0.0282885372317</c:v>
                </c:pt>
                <c:pt idx="1">
                  <c:v>0.0282877780164</c:v>
                </c:pt>
                <c:pt idx="2">
                  <c:v>1.90046685148</c:v>
                </c:pt>
                <c:pt idx="3">
                  <c:v>1.90040960082</c:v>
                </c:pt>
                <c:pt idx="4">
                  <c:v>1.90047971583</c:v>
                </c:pt>
                <c:pt idx="5">
                  <c:v>1.90046896756</c:v>
                </c:pt>
                <c:pt idx="6">
                  <c:v>2.82313805244</c:v>
                </c:pt>
                <c:pt idx="7">
                  <c:v>2.82310644514</c:v>
                </c:pt>
                <c:pt idx="8">
                  <c:v>2.82305262292</c:v>
                </c:pt>
                <c:pt idx="9">
                  <c:v>3.05869142218</c:v>
                </c:pt>
                <c:pt idx="10">
                  <c:v>3.05838920558</c:v>
                </c:pt>
                <c:pt idx="11">
                  <c:v>3.05888670188</c:v>
                </c:pt>
                <c:pt idx="12">
                  <c:v>3.77256205225</c:v>
                </c:pt>
                <c:pt idx="13">
                  <c:v>3.77294014141</c:v>
                </c:pt>
                <c:pt idx="14">
                  <c:v>3.77308964286</c:v>
                </c:pt>
                <c:pt idx="15">
                  <c:v>3.84982053117</c:v>
                </c:pt>
                <c:pt idx="16">
                  <c:v>3.84760471072</c:v>
                </c:pt>
                <c:pt idx="17">
                  <c:v>3.84790213373</c:v>
                </c:pt>
                <c:pt idx="18">
                  <c:v>3.84804450442</c:v>
                </c:pt>
              </c:numCache>
            </c:numRef>
          </c:xVal>
          <c:yVal>
            <c:numRef>
              <c:f>expt!$N$7:$N$25</c:f>
              <c:numCache>
                <c:ptCount val="19"/>
                <c:pt idx="0">
                  <c:v>15.5093894295</c:v>
                </c:pt>
                <c:pt idx="1">
                  <c:v>21.60092024</c:v>
                </c:pt>
                <c:pt idx="2">
                  <c:v>36.9259697867</c:v>
                </c:pt>
                <c:pt idx="3">
                  <c:v>37.1438802494</c:v>
                </c:pt>
                <c:pt idx="4">
                  <c:v>38.2945035694</c:v>
                </c:pt>
                <c:pt idx="5">
                  <c:v>40.4004596718</c:v>
                </c:pt>
                <c:pt idx="6">
                  <c:v>45.27274235</c:v>
                </c:pt>
                <c:pt idx="7">
                  <c:v>45.6531375072</c:v>
                </c:pt>
                <c:pt idx="8">
                  <c:v>45.7926254944</c:v>
                </c:pt>
                <c:pt idx="9">
                  <c:v>46.0593394573</c:v>
                </c:pt>
                <c:pt idx="10">
                  <c:v>47.5162249881</c:v>
                </c:pt>
                <c:pt idx="11">
                  <c:v>48.9462172815</c:v>
                </c:pt>
                <c:pt idx="12">
                  <c:v>49.9134646989</c:v>
                </c:pt>
                <c:pt idx="13">
                  <c:v>50.6196963395</c:v>
                </c:pt>
                <c:pt idx="14">
                  <c:v>50.8401581701</c:v>
                </c:pt>
                <c:pt idx="15">
                  <c:v>51.7301085543</c:v>
                </c:pt>
                <c:pt idx="16">
                  <c:v>52.3137879665</c:v>
                </c:pt>
                <c:pt idx="17">
                  <c:v>53.1053056428</c:v>
                </c:pt>
                <c:pt idx="18">
                  <c:v>53.6659361944</c:v>
                </c:pt>
              </c:numCache>
            </c:numRef>
          </c:yVal>
          <c:smooth val="1"/>
        </c:ser>
        <c:ser>
          <c:idx val="3"/>
          <c:order val="2"/>
          <c:tx>
            <c:v>3.08T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expt!$A$18:$A$87</c:f>
              <c:numCache>
                <c:ptCount val="70"/>
                <c:pt idx="0">
                  <c:v>0.275702343612</c:v>
                </c:pt>
                <c:pt idx="1">
                  <c:v>0.275701899201</c:v>
                </c:pt>
                <c:pt idx="2">
                  <c:v>0.275708549916</c:v>
                </c:pt>
                <c:pt idx="3">
                  <c:v>0.275682571024</c:v>
                </c:pt>
                <c:pt idx="4">
                  <c:v>0.275682110216</c:v>
                </c:pt>
                <c:pt idx="5">
                  <c:v>0.275684008615</c:v>
                </c:pt>
                <c:pt idx="6">
                  <c:v>0.312030024595</c:v>
                </c:pt>
                <c:pt idx="7">
                  <c:v>0.312030133801</c:v>
                </c:pt>
                <c:pt idx="8">
                  <c:v>0.31202925917</c:v>
                </c:pt>
                <c:pt idx="9">
                  <c:v>0.551697723547</c:v>
                </c:pt>
                <c:pt idx="10">
                  <c:v>0.551266444502</c:v>
                </c:pt>
                <c:pt idx="11">
                  <c:v>0.551231803794</c:v>
                </c:pt>
                <c:pt idx="12">
                  <c:v>0.551228533959</c:v>
                </c:pt>
                <c:pt idx="13">
                  <c:v>0.63408158736</c:v>
                </c:pt>
                <c:pt idx="14">
                  <c:v>0.734964333279</c:v>
                </c:pt>
                <c:pt idx="15">
                  <c:v>0.73491936291</c:v>
                </c:pt>
                <c:pt idx="16">
                  <c:v>0.735078887507</c:v>
                </c:pt>
                <c:pt idx="17">
                  <c:v>0.73500472333</c:v>
                </c:pt>
                <c:pt idx="18">
                  <c:v>0.919065404318</c:v>
                </c:pt>
                <c:pt idx="19">
                  <c:v>0.918959418731</c:v>
                </c:pt>
                <c:pt idx="20">
                  <c:v>0.91899495188</c:v>
                </c:pt>
                <c:pt idx="21">
                  <c:v>0.91899183529</c:v>
                </c:pt>
                <c:pt idx="22">
                  <c:v>0.948980902451</c:v>
                </c:pt>
                <c:pt idx="23">
                  <c:v>0.918964031412</c:v>
                </c:pt>
                <c:pt idx="24">
                  <c:v>0.918989809759</c:v>
                </c:pt>
                <c:pt idx="25">
                  <c:v>0.918867647127</c:v>
                </c:pt>
                <c:pt idx="26">
                  <c:v>0.948999398189</c:v>
                </c:pt>
                <c:pt idx="27">
                  <c:v>0.919018197121</c:v>
                </c:pt>
                <c:pt idx="28">
                  <c:v>0.949010598341</c:v>
                </c:pt>
                <c:pt idx="29">
                  <c:v>0.948979820692</c:v>
                </c:pt>
                <c:pt idx="30">
                  <c:v>1.10271616881</c:v>
                </c:pt>
                <c:pt idx="31">
                  <c:v>1.10265405368</c:v>
                </c:pt>
                <c:pt idx="32">
                  <c:v>1.10266123403</c:v>
                </c:pt>
                <c:pt idx="33">
                  <c:v>1.10266835709</c:v>
                </c:pt>
                <c:pt idx="34">
                  <c:v>1.10272060168</c:v>
                </c:pt>
                <c:pt idx="35">
                  <c:v>1.10273679141</c:v>
                </c:pt>
                <c:pt idx="36">
                  <c:v>1.28625741814</c:v>
                </c:pt>
                <c:pt idx="37">
                  <c:v>1.28635995626</c:v>
                </c:pt>
                <c:pt idx="38">
                  <c:v>1.28613217496</c:v>
                </c:pt>
                <c:pt idx="39">
                  <c:v>1.28623605951</c:v>
                </c:pt>
                <c:pt idx="40">
                  <c:v>1.47014629196</c:v>
                </c:pt>
                <c:pt idx="41">
                  <c:v>1.46991976275</c:v>
                </c:pt>
                <c:pt idx="42">
                  <c:v>1.46993398445</c:v>
                </c:pt>
                <c:pt idx="43">
                  <c:v>1.46992762626</c:v>
                </c:pt>
                <c:pt idx="44">
                  <c:v>1.65586988153</c:v>
                </c:pt>
                <c:pt idx="45">
                  <c:v>1.65368309945</c:v>
                </c:pt>
                <c:pt idx="46">
                  <c:v>1.65364509251</c:v>
                </c:pt>
                <c:pt idx="47">
                  <c:v>1.65361690064</c:v>
                </c:pt>
                <c:pt idx="48">
                  <c:v>1.653630502</c:v>
                </c:pt>
                <c:pt idx="49">
                  <c:v>1.84015710871</c:v>
                </c:pt>
                <c:pt idx="50">
                  <c:v>1.84097910674</c:v>
                </c:pt>
                <c:pt idx="51">
                  <c:v>1.84099357717</c:v>
                </c:pt>
                <c:pt idx="52">
                  <c:v>1.84100790732</c:v>
                </c:pt>
                <c:pt idx="53">
                  <c:v>1.84095619423</c:v>
                </c:pt>
                <c:pt idx="54">
                  <c:v>1.84014877184</c:v>
                </c:pt>
                <c:pt idx="55">
                  <c:v>1.83739841083</c:v>
                </c:pt>
                <c:pt idx="56">
                  <c:v>1.8378322056</c:v>
                </c:pt>
                <c:pt idx="57">
                  <c:v>1.83795029272</c:v>
                </c:pt>
                <c:pt idx="58">
                  <c:v>1.83733616699</c:v>
                </c:pt>
                <c:pt idx="59">
                  <c:v>1.83790355918</c:v>
                </c:pt>
                <c:pt idx="60">
                  <c:v>1.83750829725</c:v>
                </c:pt>
                <c:pt idx="61">
                  <c:v>1.83751338811</c:v>
                </c:pt>
                <c:pt idx="62">
                  <c:v>1.8993135535</c:v>
                </c:pt>
                <c:pt idx="63">
                  <c:v>1.89932782828</c:v>
                </c:pt>
                <c:pt idx="64">
                  <c:v>1.89743413728</c:v>
                </c:pt>
                <c:pt idx="65">
                  <c:v>1.8992727357</c:v>
                </c:pt>
                <c:pt idx="66">
                  <c:v>2.85711695349</c:v>
                </c:pt>
                <c:pt idx="67">
                  <c:v>2.85309181675</c:v>
                </c:pt>
                <c:pt idx="68">
                  <c:v>2.85713727708</c:v>
                </c:pt>
                <c:pt idx="69">
                  <c:v>3.84132990116</c:v>
                </c:pt>
              </c:numCache>
            </c:numRef>
          </c:xVal>
          <c:yVal>
            <c:numRef>
              <c:f>expt!$B$18:$B$87</c:f>
              <c:numCache>
                <c:ptCount val="70"/>
                <c:pt idx="0">
                  <c:v>29.688639626</c:v>
                </c:pt>
                <c:pt idx="1">
                  <c:v>30.7884545341</c:v>
                </c:pt>
                <c:pt idx="2">
                  <c:v>31.6745808803</c:v>
                </c:pt>
                <c:pt idx="3">
                  <c:v>32.411632896</c:v>
                </c:pt>
                <c:pt idx="4">
                  <c:v>32.4819665635</c:v>
                </c:pt>
                <c:pt idx="5">
                  <c:v>37.9464439799</c:v>
                </c:pt>
                <c:pt idx="6">
                  <c:v>34.626926374</c:v>
                </c:pt>
                <c:pt idx="7">
                  <c:v>34.7930119183</c:v>
                </c:pt>
                <c:pt idx="8">
                  <c:v>34.9926403107</c:v>
                </c:pt>
                <c:pt idx="9">
                  <c:v>40.4031766012</c:v>
                </c:pt>
                <c:pt idx="10">
                  <c:v>41.1820574802</c:v>
                </c:pt>
                <c:pt idx="11">
                  <c:v>41.2131644437</c:v>
                </c:pt>
                <c:pt idx="12">
                  <c:v>43.2963089922</c:v>
                </c:pt>
                <c:pt idx="13">
                  <c:v>39.3578839725</c:v>
                </c:pt>
                <c:pt idx="14">
                  <c:v>36.0783168138</c:v>
                </c:pt>
                <c:pt idx="15">
                  <c:v>40.3979489241</c:v>
                </c:pt>
                <c:pt idx="16">
                  <c:v>43.8956381922</c:v>
                </c:pt>
                <c:pt idx="17">
                  <c:v>44.3391844746</c:v>
                </c:pt>
                <c:pt idx="18">
                  <c:v>42.0521655608</c:v>
                </c:pt>
                <c:pt idx="19">
                  <c:v>43.7807373606</c:v>
                </c:pt>
                <c:pt idx="20">
                  <c:v>44.0719711244</c:v>
                </c:pt>
                <c:pt idx="21">
                  <c:v>44.7173987963</c:v>
                </c:pt>
                <c:pt idx="22">
                  <c:v>45.0296907361</c:v>
                </c:pt>
                <c:pt idx="23">
                  <c:v>45.1768422283</c:v>
                </c:pt>
                <c:pt idx="24">
                  <c:v>45.7646049791</c:v>
                </c:pt>
                <c:pt idx="25">
                  <c:v>45.9746507819</c:v>
                </c:pt>
                <c:pt idx="26">
                  <c:v>47.2564632345</c:v>
                </c:pt>
                <c:pt idx="27">
                  <c:v>47.4043312737</c:v>
                </c:pt>
                <c:pt idx="28">
                  <c:v>47.5698977644</c:v>
                </c:pt>
                <c:pt idx="29">
                  <c:v>49.3823950911</c:v>
                </c:pt>
                <c:pt idx="30">
                  <c:v>44.8295347365</c:v>
                </c:pt>
                <c:pt idx="31">
                  <c:v>45.9571743426</c:v>
                </c:pt>
                <c:pt idx="32">
                  <c:v>48.5118919668</c:v>
                </c:pt>
                <c:pt idx="33">
                  <c:v>49.0964371492</c:v>
                </c:pt>
                <c:pt idx="34">
                  <c:v>49.1462342509</c:v>
                </c:pt>
                <c:pt idx="35">
                  <c:v>50.7066110257</c:v>
                </c:pt>
                <c:pt idx="36">
                  <c:v>51.9143243004</c:v>
                </c:pt>
                <c:pt idx="37">
                  <c:v>54.0458558618</c:v>
                </c:pt>
                <c:pt idx="38">
                  <c:v>54.545793282</c:v>
                </c:pt>
                <c:pt idx="39">
                  <c:v>54.6109678599</c:v>
                </c:pt>
                <c:pt idx="40">
                  <c:v>53.0533391367</c:v>
                </c:pt>
                <c:pt idx="41">
                  <c:v>55.3867531354</c:v>
                </c:pt>
                <c:pt idx="42">
                  <c:v>56.7063379999</c:v>
                </c:pt>
                <c:pt idx="43">
                  <c:v>57.2888995473</c:v>
                </c:pt>
                <c:pt idx="44">
                  <c:v>56.3504250062</c:v>
                </c:pt>
                <c:pt idx="45">
                  <c:v>57.799351882</c:v>
                </c:pt>
                <c:pt idx="46">
                  <c:v>59.0010505658</c:v>
                </c:pt>
                <c:pt idx="47">
                  <c:v>61.3258467277</c:v>
                </c:pt>
                <c:pt idx="48">
                  <c:v>61.6367096745</c:v>
                </c:pt>
                <c:pt idx="49">
                  <c:v>48.5182561299</c:v>
                </c:pt>
                <c:pt idx="50">
                  <c:v>51.8977114955</c:v>
                </c:pt>
                <c:pt idx="51">
                  <c:v>51.921653959</c:v>
                </c:pt>
                <c:pt idx="52">
                  <c:v>53.3482069687</c:v>
                </c:pt>
                <c:pt idx="53">
                  <c:v>54.361442671</c:v>
                </c:pt>
                <c:pt idx="54">
                  <c:v>55.6702549076</c:v>
                </c:pt>
                <c:pt idx="55">
                  <c:v>59.3269374182</c:v>
                </c:pt>
                <c:pt idx="56">
                  <c:v>60.0590244196</c:v>
                </c:pt>
                <c:pt idx="57">
                  <c:v>61.4221450057</c:v>
                </c:pt>
                <c:pt idx="58">
                  <c:v>61.7151419837</c:v>
                </c:pt>
                <c:pt idx="59">
                  <c:v>61.8838770478</c:v>
                </c:pt>
                <c:pt idx="60">
                  <c:v>62.9664114678</c:v>
                </c:pt>
                <c:pt idx="61">
                  <c:v>63.4190964865</c:v>
                </c:pt>
                <c:pt idx="62">
                  <c:v>59.0139329107</c:v>
                </c:pt>
                <c:pt idx="63">
                  <c:v>59.7218644747</c:v>
                </c:pt>
                <c:pt idx="64">
                  <c:v>64.9155285491</c:v>
                </c:pt>
                <c:pt idx="65">
                  <c:v>65.6211540119</c:v>
                </c:pt>
                <c:pt idx="66">
                  <c:v>66.5385964943</c:v>
                </c:pt>
                <c:pt idx="67">
                  <c:v>70.0307690002</c:v>
                </c:pt>
                <c:pt idx="68">
                  <c:v>79.0210572333</c:v>
                </c:pt>
                <c:pt idx="69">
                  <c:v>95.7658837042</c:v>
                </c:pt>
              </c:numCache>
            </c:numRef>
          </c:yVal>
          <c:smooth val="1"/>
        </c:ser>
        <c:ser>
          <c:idx val="5"/>
          <c:order val="3"/>
          <c:tx>
            <c:v>4T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expt!$G$26:$G$85</c:f>
              <c:numCache>
                <c:ptCount val="60"/>
                <c:pt idx="0">
                  <c:v>0.949362569985</c:v>
                </c:pt>
                <c:pt idx="1">
                  <c:v>0.949368692074</c:v>
                </c:pt>
                <c:pt idx="2">
                  <c:v>0.949337927214</c:v>
                </c:pt>
                <c:pt idx="3">
                  <c:v>0.949378422414</c:v>
                </c:pt>
                <c:pt idx="4">
                  <c:v>1.13933390682</c:v>
                </c:pt>
                <c:pt idx="5">
                  <c:v>1.13929617044</c:v>
                </c:pt>
                <c:pt idx="6">
                  <c:v>1.13929014616</c:v>
                </c:pt>
                <c:pt idx="7">
                  <c:v>1.13928821822</c:v>
                </c:pt>
                <c:pt idx="8">
                  <c:v>1.32977553989</c:v>
                </c:pt>
                <c:pt idx="9">
                  <c:v>1.3296879577</c:v>
                </c:pt>
                <c:pt idx="10">
                  <c:v>1.32969683582</c:v>
                </c:pt>
                <c:pt idx="11">
                  <c:v>1.32959640285</c:v>
                </c:pt>
                <c:pt idx="12">
                  <c:v>1.52010706108</c:v>
                </c:pt>
                <c:pt idx="13">
                  <c:v>1.52009239026</c:v>
                </c:pt>
                <c:pt idx="14">
                  <c:v>1.52026518087</c:v>
                </c:pt>
                <c:pt idx="15">
                  <c:v>1.71035034893</c:v>
                </c:pt>
                <c:pt idx="16">
                  <c:v>1.71083422453</c:v>
                </c:pt>
                <c:pt idx="17">
                  <c:v>1.71040532364</c:v>
                </c:pt>
                <c:pt idx="18">
                  <c:v>1.71097820718</c:v>
                </c:pt>
                <c:pt idx="19">
                  <c:v>1.89900047373</c:v>
                </c:pt>
                <c:pt idx="20">
                  <c:v>1.89908531435</c:v>
                </c:pt>
                <c:pt idx="21">
                  <c:v>1.89905489541</c:v>
                </c:pt>
                <c:pt idx="22">
                  <c:v>1.89875289398</c:v>
                </c:pt>
                <c:pt idx="23">
                  <c:v>1.89901502492</c:v>
                </c:pt>
                <c:pt idx="24">
                  <c:v>1.89902849804</c:v>
                </c:pt>
                <c:pt idx="25">
                  <c:v>1.89917265919</c:v>
                </c:pt>
                <c:pt idx="26">
                  <c:v>1.89868644606</c:v>
                </c:pt>
                <c:pt idx="27">
                  <c:v>1.89914497265</c:v>
                </c:pt>
                <c:pt idx="28">
                  <c:v>1.89906215388</c:v>
                </c:pt>
                <c:pt idx="29">
                  <c:v>1.89884335191</c:v>
                </c:pt>
                <c:pt idx="30">
                  <c:v>1.89902451545</c:v>
                </c:pt>
                <c:pt idx="31">
                  <c:v>1.8987505021</c:v>
                </c:pt>
                <c:pt idx="32">
                  <c:v>1.89880665223</c:v>
                </c:pt>
                <c:pt idx="33">
                  <c:v>1.90239990994</c:v>
                </c:pt>
                <c:pt idx="34">
                  <c:v>1.89877623356</c:v>
                </c:pt>
                <c:pt idx="35">
                  <c:v>1.89878691896</c:v>
                </c:pt>
                <c:pt idx="36">
                  <c:v>1.89859369847</c:v>
                </c:pt>
                <c:pt idx="37">
                  <c:v>1.89829969335</c:v>
                </c:pt>
                <c:pt idx="38">
                  <c:v>1.90252775516</c:v>
                </c:pt>
                <c:pt idx="39">
                  <c:v>1.89863765485</c:v>
                </c:pt>
                <c:pt idx="40">
                  <c:v>1.90194961571</c:v>
                </c:pt>
                <c:pt idx="41">
                  <c:v>1.9008401229</c:v>
                </c:pt>
                <c:pt idx="42">
                  <c:v>1.8982524242</c:v>
                </c:pt>
                <c:pt idx="43">
                  <c:v>1.90265060637</c:v>
                </c:pt>
                <c:pt idx="44">
                  <c:v>1.90129885434</c:v>
                </c:pt>
                <c:pt idx="45">
                  <c:v>1.9009253813</c:v>
                </c:pt>
                <c:pt idx="46">
                  <c:v>1.89855869284</c:v>
                </c:pt>
                <c:pt idx="47">
                  <c:v>1.89826163254</c:v>
                </c:pt>
                <c:pt idx="48">
                  <c:v>1.90224151686</c:v>
                </c:pt>
                <c:pt idx="49">
                  <c:v>1.90080902329</c:v>
                </c:pt>
                <c:pt idx="50">
                  <c:v>2.84109212549</c:v>
                </c:pt>
                <c:pt idx="51">
                  <c:v>2.84111497287</c:v>
                </c:pt>
                <c:pt idx="52">
                  <c:v>2.84125564839</c:v>
                </c:pt>
                <c:pt idx="53">
                  <c:v>2.84107286514</c:v>
                </c:pt>
                <c:pt idx="54">
                  <c:v>3.79238061898</c:v>
                </c:pt>
                <c:pt idx="55">
                  <c:v>3.79355516679</c:v>
                </c:pt>
                <c:pt idx="56">
                  <c:v>3.79312931045</c:v>
                </c:pt>
                <c:pt idx="57">
                  <c:v>3.79358850111</c:v>
                </c:pt>
                <c:pt idx="58">
                  <c:v>3.79227789469</c:v>
                </c:pt>
                <c:pt idx="59">
                  <c:v>3.79241261912</c:v>
                </c:pt>
              </c:numCache>
            </c:numRef>
          </c:xVal>
          <c:yVal>
            <c:numRef>
              <c:f>expt!$H$26:$H$85</c:f>
              <c:numCache>
                <c:ptCount val="60"/>
                <c:pt idx="0">
                  <c:v>68.6460343847</c:v>
                </c:pt>
                <c:pt idx="1">
                  <c:v>69.0804803703</c:v>
                </c:pt>
                <c:pt idx="2">
                  <c:v>69.7423921202</c:v>
                </c:pt>
                <c:pt idx="3">
                  <c:v>72.3099855377</c:v>
                </c:pt>
                <c:pt idx="4">
                  <c:v>74.8258009191</c:v>
                </c:pt>
                <c:pt idx="5">
                  <c:v>76.9858808455</c:v>
                </c:pt>
                <c:pt idx="6">
                  <c:v>77.3011981784</c:v>
                </c:pt>
                <c:pt idx="7">
                  <c:v>78.2689973159</c:v>
                </c:pt>
                <c:pt idx="8">
                  <c:v>78.7806532759</c:v>
                </c:pt>
                <c:pt idx="9">
                  <c:v>80.3992995172</c:v>
                </c:pt>
                <c:pt idx="10">
                  <c:v>81.6485023944</c:v>
                </c:pt>
                <c:pt idx="11">
                  <c:v>82.9877358637</c:v>
                </c:pt>
                <c:pt idx="12">
                  <c:v>88.0443518419</c:v>
                </c:pt>
                <c:pt idx="13">
                  <c:v>88.639871199</c:v>
                </c:pt>
                <c:pt idx="14">
                  <c:v>92.6921284459</c:v>
                </c:pt>
                <c:pt idx="15">
                  <c:v>86.6636436305</c:v>
                </c:pt>
                <c:pt idx="16">
                  <c:v>87.0415388608</c:v>
                </c:pt>
                <c:pt idx="17">
                  <c:v>87.3602788698</c:v>
                </c:pt>
                <c:pt idx="18">
                  <c:v>90.2925783758</c:v>
                </c:pt>
                <c:pt idx="19">
                  <c:v>80.0857922779</c:v>
                </c:pt>
                <c:pt idx="20">
                  <c:v>81.0710240024</c:v>
                </c:pt>
                <c:pt idx="21">
                  <c:v>81.3419532765</c:v>
                </c:pt>
                <c:pt idx="22">
                  <c:v>83.5535175532</c:v>
                </c:pt>
                <c:pt idx="23">
                  <c:v>83.9868718553</c:v>
                </c:pt>
                <c:pt idx="24">
                  <c:v>83.9880384557</c:v>
                </c:pt>
                <c:pt idx="25">
                  <c:v>84.4547960173</c:v>
                </c:pt>
                <c:pt idx="26">
                  <c:v>84.9090124194</c:v>
                </c:pt>
                <c:pt idx="27">
                  <c:v>86.7485886307</c:v>
                </c:pt>
                <c:pt idx="28">
                  <c:v>86.9139373939</c:v>
                </c:pt>
                <c:pt idx="29">
                  <c:v>86.9545182924</c:v>
                </c:pt>
                <c:pt idx="30">
                  <c:v>87.1233024368</c:v>
                </c:pt>
                <c:pt idx="31">
                  <c:v>87.2233891058</c:v>
                </c:pt>
                <c:pt idx="32">
                  <c:v>87.3065800214</c:v>
                </c:pt>
                <c:pt idx="33">
                  <c:v>87.4391452723</c:v>
                </c:pt>
                <c:pt idx="34">
                  <c:v>87.6768938152</c:v>
                </c:pt>
                <c:pt idx="35">
                  <c:v>91.0071721397</c:v>
                </c:pt>
                <c:pt idx="36">
                  <c:v>92.7888340254</c:v>
                </c:pt>
                <c:pt idx="37">
                  <c:v>92.8160898907</c:v>
                </c:pt>
                <c:pt idx="38">
                  <c:v>93.0686986161</c:v>
                </c:pt>
                <c:pt idx="39">
                  <c:v>93.409515024</c:v>
                </c:pt>
                <c:pt idx="40">
                  <c:v>96.0436942604</c:v>
                </c:pt>
                <c:pt idx="41">
                  <c:v>96.2814735439</c:v>
                </c:pt>
                <c:pt idx="42">
                  <c:v>98.2776108368</c:v>
                </c:pt>
                <c:pt idx="43">
                  <c:v>98.922227363</c:v>
                </c:pt>
                <c:pt idx="44">
                  <c:v>99.1903897019</c:v>
                </c:pt>
                <c:pt idx="45">
                  <c:v>99.3089840679</c:v>
                </c:pt>
                <c:pt idx="46">
                  <c:v>100.041685761</c:v>
                </c:pt>
                <c:pt idx="47">
                  <c:v>100.626373646</c:v>
                </c:pt>
                <c:pt idx="48">
                  <c:v>100.845975764</c:v>
                </c:pt>
                <c:pt idx="49">
                  <c:v>101.805649842</c:v>
                </c:pt>
                <c:pt idx="50">
                  <c:v>113.9465255</c:v>
                </c:pt>
                <c:pt idx="51">
                  <c:v>120.197030361</c:v>
                </c:pt>
                <c:pt idx="52">
                  <c:v>121.983420786</c:v>
                </c:pt>
                <c:pt idx="53">
                  <c:v>132.370940551</c:v>
                </c:pt>
                <c:pt idx="54">
                  <c:v>140.246231092</c:v>
                </c:pt>
                <c:pt idx="55">
                  <c:v>140.422295089</c:v>
                </c:pt>
                <c:pt idx="56">
                  <c:v>141.728737717</c:v>
                </c:pt>
                <c:pt idx="57">
                  <c:v>144.826044207</c:v>
                </c:pt>
                <c:pt idx="58">
                  <c:v>146.053524217</c:v>
                </c:pt>
                <c:pt idx="59">
                  <c:v>153.238900143</c:v>
                </c:pt>
              </c:numCache>
            </c:numRef>
          </c:yVal>
          <c:smooth val="1"/>
        </c:ser>
        <c:ser>
          <c:idx val="1"/>
          <c:order val="4"/>
          <c:tx>
            <c:v>1T theo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'Sum''ry'!#REF!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'Sum''ry'!$F$21:$F$21</c:f>
              <c:numCache/>
            </c:numRef>
          </c:yVal>
          <c:smooth val="1"/>
        </c:ser>
        <c:ser>
          <c:idx val="4"/>
          <c:order val="5"/>
          <c:tx>
            <c:v>2T theo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'Sum''ry'!#REF!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'Sum''ry'!$F$22:$F$22</c:f>
              <c:numCache/>
            </c:numRef>
          </c:yVal>
          <c:smooth val="1"/>
        </c:ser>
        <c:ser>
          <c:idx val="6"/>
          <c:order val="6"/>
          <c:tx>
            <c:v>3.08T theo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'Sum''ry'!#REF!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'Sum''ry'!$F$23:$F$23</c:f>
              <c:numCache/>
            </c:numRef>
          </c:yVal>
          <c:smooth val="1"/>
        </c:ser>
        <c:ser>
          <c:idx val="7"/>
          <c:order val="7"/>
          <c:tx>
            <c:v>4T theo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'Sum''ry'!#REF!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'Sum''ry'!$F$24:$F$24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'Sum''ry'!#REF!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'Sum''ry'!$F$21:$F$21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'Sum''ry'!#REF!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'Sum''ry'!$F$22:$F$22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'Sum''ry'!#REF!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'Sum''ry'!$F$23:$F$23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'Sum''ry'!#REF!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'Sum''ry'!$F$24:$F$24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'Sum''ry'!$E$17:$F$17</c:f>
              <c:numCache/>
            </c:numRef>
          </c:xVal>
          <c:yVal>
            <c:numRef>
              <c:f>'Sum''ry'!$E$21:$F$21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'Sum''ry'!$E$17:$F$17</c:f>
              <c:numCache/>
            </c:numRef>
          </c:xVal>
          <c:yVal>
            <c:numRef>
              <c:f>'Sum''ry'!$E$22:$F$22</c:f>
              <c:numCache/>
            </c:numRef>
          </c:yVal>
          <c:smooth val="1"/>
        </c:ser>
        <c:ser>
          <c:idx val="14"/>
          <c:order val="1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'Sum''ry'!$E$17:$F$17</c:f>
              <c:numCache/>
            </c:numRef>
          </c:xVal>
          <c:yVal>
            <c:numRef>
              <c:f>'Sum''ry'!$E$23:$F$23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'Sum''ry'!$E$17:$F$17</c:f>
              <c:numCache/>
            </c:numRef>
          </c:xVal>
          <c:yVal>
            <c:numRef>
              <c:f>'Sum''ry'!$E$24:$F$24</c:f>
              <c:numCache/>
            </c:numRef>
          </c:yVal>
          <c:smooth val="1"/>
        </c:ser>
        <c:axId val="27421618"/>
        <c:axId val="45467971"/>
      </c:scatterChart>
      <c:valAx>
        <c:axId val="27421618"/>
        <c:scaling>
          <c:orientation val="minMax"/>
          <c:max val="4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Ramp rate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467971"/>
        <c:crosses val="autoZero"/>
        <c:crossBetween val="midCat"/>
        <c:dispUnits/>
        <c:majorUnit val="1"/>
      </c:valAx>
      <c:valAx>
        <c:axId val="45467971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Loss/cycle 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421618"/>
        <c:crosses val="autoZero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085"/>
          <c:y val="0.0305"/>
          <c:w val="0.40475"/>
          <c:h val="0.21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48"/>
          <c:h val="0.975"/>
        </c:manualLayout>
      </c:layout>
      <c:scatterChart>
        <c:scatterStyle val="lineMarker"/>
        <c:varyColors val="0"/>
        <c:ser>
          <c:idx val="0"/>
          <c:order val="0"/>
          <c:tx>
            <c:v>experiment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expt!$L$62:$L$69</c:f>
                <c:numCache>
                  <c:ptCount val="8"/>
                  <c:pt idx="0">
                    <c:v>0.08502674368715066</c:v>
                  </c:pt>
                  <c:pt idx="1">
                    <c:v>0.08390816374469848</c:v>
                  </c:pt>
                  <c:pt idx="2">
                    <c:v>0.20425314729464508</c:v>
                  </c:pt>
                  <c:pt idx="3">
                    <c:v>0.3107512049396219</c:v>
                  </c:pt>
                  <c:pt idx="4">
                    <c:v>0.40675461424420517</c:v>
                  </c:pt>
                  <c:pt idx="5">
                    <c:v>0.8676232220536881</c:v>
                  </c:pt>
                  <c:pt idx="6">
                    <c:v>0.841538467283269</c:v>
                  </c:pt>
                  <c:pt idx="7">
                    <c:v>1.0768980260454508</c:v>
                  </c:pt>
                </c:numCache>
              </c:numRef>
            </c:plus>
            <c:minus>
              <c:numRef>
                <c:f>expt!$L$62:$L$69</c:f>
                <c:numCache>
                  <c:ptCount val="8"/>
                  <c:pt idx="0">
                    <c:v>0.08502674368715066</c:v>
                  </c:pt>
                  <c:pt idx="1">
                    <c:v>0.08390816374469848</c:v>
                  </c:pt>
                  <c:pt idx="2">
                    <c:v>0.20425314729464508</c:v>
                  </c:pt>
                  <c:pt idx="3">
                    <c:v>0.3107512049396219</c:v>
                  </c:pt>
                  <c:pt idx="4">
                    <c:v>0.40675461424420517</c:v>
                  </c:pt>
                  <c:pt idx="5">
                    <c:v>0.8676232220536881</c:v>
                  </c:pt>
                  <c:pt idx="6">
                    <c:v>0.841538467283269</c:v>
                  </c:pt>
                  <c:pt idx="7">
                    <c:v>1.0768980260454508</c:v>
                  </c:pt>
                </c:numCache>
              </c:numRef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expt!$J$62:$J$69</c:f>
              <c:numCache>
                <c:ptCount val="8"/>
                <c:pt idx="0">
                  <c:v>0.31</c:v>
                </c:pt>
                <c:pt idx="1">
                  <c:v>0.67</c:v>
                </c:pt>
                <c:pt idx="2">
                  <c:v>1</c:v>
                </c:pt>
                <c:pt idx="3">
                  <c:v>1.9</c:v>
                </c:pt>
                <c:pt idx="4">
                  <c:v>2</c:v>
                </c:pt>
                <c:pt idx="5">
                  <c:v>3.08</c:v>
                </c:pt>
                <c:pt idx="6">
                  <c:v>3.6</c:v>
                </c:pt>
                <c:pt idx="7">
                  <c:v>4</c:v>
                </c:pt>
              </c:numCache>
            </c:numRef>
          </c:xVal>
          <c:yVal>
            <c:numRef>
              <c:f>expt!$K$62:$K$69</c:f>
              <c:numCache>
                <c:ptCount val="8"/>
                <c:pt idx="0">
                  <c:v>0.7623392120982206</c:v>
                </c:pt>
                <c:pt idx="1">
                  <c:v>4.101984188667589</c:v>
                </c:pt>
                <c:pt idx="2">
                  <c:v>2.6078500633863637</c:v>
                </c:pt>
                <c:pt idx="3">
                  <c:v>9.722565403508517</c:v>
                </c:pt>
                <c:pt idx="4">
                  <c:v>8.466447297653893</c:v>
                </c:pt>
                <c:pt idx="5">
                  <c:v>16.104430827492042</c:v>
                </c:pt>
                <c:pt idx="6">
                  <c:v>23.968797053881936</c:v>
                </c:pt>
                <c:pt idx="7">
                  <c:v>26.32301210900154</c:v>
                </c:pt>
              </c:numCache>
            </c:numRef>
          </c:yVal>
          <c:smooth val="0"/>
        </c:ser>
        <c:ser>
          <c:idx val="1"/>
          <c:order val="1"/>
          <c:tx>
            <c:v>theory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'Sum''ry'!$A$19:$A$24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'Sum''ry'!$G$19:$G$24</c:f>
              <c:numCache>
                <c:ptCount val="6"/>
                <c:pt idx="0">
                  <c:v>0</c:v>
                </c:pt>
                <c:pt idx="1">
                  <c:v>1.7695946359923065</c:v>
                </c:pt>
                <c:pt idx="2">
                  <c:v>3.3381297270885684</c:v>
                </c:pt>
                <c:pt idx="3">
                  <c:v>6.102251227673848</c:v>
                </c:pt>
                <c:pt idx="4">
                  <c:v>8.748347135745258</c:v>
                </c:pt>
                <c:pt idx="5">
                  <c:v>2.706102042845405</c:v>
                </c:pt>
              </c:numCache>
            </c:numRef>
          </c:yVal>
          <c:smooth val="0"/>
        </c:ser>
        <c:axId val="6558556"/>
        <c:axId val="59027005"/>
      </c:scatterChart>
      <c:valAx>
        <c:axId val="655855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max B (T)</a:t>
                </a:r>
              </a:p>
            </c:rich>
          </c:tx>
          <c:layout>
            <c:manualLayout>
              <c:xMode val="factor"/>
              <c:yMode val="factor"/>
              <c:x val="0.01075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7005"/>
        <c:crosses val="autoZero"/>
        <c:crossBetween val="midCat"/>
        <c:dispUnits/>
        <c:majorUnit val="1"/>
      </c:valAx>
      <c:valAx>
        <c:axId val="5902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 per cycle / B`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8556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395"/>
          <c:w val="0.25"/>
          <c:h val="0.17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"/>
          <c:w val="0.94075"/>
          <c:h val="0.9675"/>
        </c:manualLayout>
      </c:layout>
      <c:scatterChart>
        <c:scatterStyle val="lineMarker"/>
        <c:varyColors val="0"/>
        <c:ser>
          <c:idx val="1"/>
          <c:order val="0"/>
          <c:tx>
            <c:v>fitted to experiment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expt!$L$76:$L$83</c:f>
                <c:numCache>
                  <c:ptCount val="8"/>
                  <c:pt idx="0">
                    <c:v>0.2</c:v>
                  </c:pt>
                  <c:pt idx="1">
                    <c:v>0.1938204140279094</c:v>
                  </c:pt>
                  <c:pt idx="2">
                    <c:v>0.5781798931421446</c:v>
                  </c:pt>
                  <c:pt idx="3">
                    <c:v>0.38903303178324156</c:v>
                  </c:pt>
                  <c:pt idx="4">
                    <c:v>1.2108321161966666</c:v>
                  </c:pt>
                  <c:pt idx="5">
                    <c:v>1.267284473966957</c:v>
                  </c:pt>
                  <c:pt idx="6">
                    <c:v>1.5700313258759975</c:v>
                  </c:pt>
                  <c:pt idx="7">
                    <c:v>2.2631123166144804</c:v>
                  </c:pt>
                </c:numCache>
              </c:numRef>
            </c:plus>
            <c:minus>
              <c:numRef>
                <c:f>expt!$L$76:$L$83</c:f>
                <c:numCache>
                  <c:ptCount val="8"/>
                  <c:pt idx="0">
                    <c:v>0.2</c:v>
                  </c:pt>
                  <c:pt idx="1">
                    <c:v>0.1938204140279094</c:v>
                  </c:pt>
                  <c:pt idx="2">
                    <c:v>0.5781798931421446</c:v>
                  </c:pt>
                  <c:pt idx="3">
                    <c:v>0.38903303178324156</c:v>
                  </c:pt>
                  <c:pt idx="4">
                    <c:v>1.2108321161966666</c:v>
                  </c:pt>
                  <c:pt idx="5">
                    <c:v>1.267284473966957</c:v>
                  </c:pt>
                  <c:pt idx="6">
                    <c:v>1.5700313258759975</c:v>
                  </c:pt>
                  <c:pt idx="7">
                    <c:v>2.2631123166144804</c:v>
                  </c:pt>
                </c:numCache>
              </c:numRef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expt!$J$76:$J$83</c:f>
              <c:numCache>
                <c:ptCount val="8"/>
                <c:pt idx="0">
                  <c:v>0.31</c:v>
                </c:pt>
                <c:pt idx="1">
                  <c:v>0.67</c:v>
                </c:pt>
                <c:pt idx="2">
                  <c:v>1</c:v>
                </c:pt>
                <c:pt idx="3">
                  <c:v>1.9</c:v>
                </c:pt>
                <c:pt idx="4">
                  <c:v>2</c:v>
                </c:pt>
                <c:pt idx="5">
                  <c:v>3.08</c:v>
                </c:pt>
                <c:pt idx="6">
                  <c:v>3.6</c:v>
                </c:pt>
                <c:pt idx="7">
                  <c:v>4</c:v>
                </c:pt>
              </c:numCache>
            </c:numRef>
          </c:xVal>
          <c:yVal>
            <c:numRef>
              <c:f>expt!$K$76:$K$83</c:f>
              <c:numCache>
                <c:ptCount val="8"/>
                <c:pt idx="0">
                  <c:v>4.41993171911628</c:v>
                </c:pt>
                <c:pt idx="1">
                  <c:v>5.603777233357124</c:v>
                </c:pt>
                <c:pt idx="2">
                  <c:v>16.37115936959671</c:v>
                </c:pt>
                <c:pt idx="3">
                  <c:v>17.562982344530965</c:v>
                </c:pt>
                <c:pt idx="4">
                  <c:v>20.574541093672742</c:v>
                </c:pt>
                <c:pt idx="5">
                  <c:v>30.543406918793924</c:v>
                </c:pt>
                <c:pt idx="6">
                  <c:v>35.85611475047456</c:v>
                </c:pt>
                <c:pt idx="7">
                  <c:v>43.22527295432219</c:v>
                </c:pt>
              </c:numCache>
            </c:numRef>
          </c:yVal>
          <c:smooth val="0"/>
        </c:ser>
        <c:ser>
          <c:idx val="5"/>
          <c:order val="1"/>
          <c:tx>
            <c:v>theory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'Sum''ry'!$A$19:$A$24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'Sum''ry'!$E$19:$E$24</c:f>
              <c:numCache>
                <c:ptCount val="6"/>
                <c:pt idx="0">
                  <c:v>0</c:v>
                </c:pt>
                <c:pt idx="1">
                  <c:v>9.265845391050373</c:v>
                </c:pt>
                <c:pt idx="2">
                  <c:v>14.856077390120934</c:v>
                </c:pt>
                <c:pt idx="3">
                  <c:v>23.594451031414838</c:v>
                </c:pt>
                <c:pt idx="4">
                  <c:v>31.848012019071696</c:v>
                </c:pt>
                <c:pt idx="5">
                  <c:v>39.04866963397557</c:v>
                </c:pt>
              </c:numCache>
            </c:numRef>
          </c:yVal>
          <c:smooth val="1"/>
        </c:ser>
        <c:axId val="61480998"/>
        <c:axId val="16458071"/>
      </c:scatterChart>
      <c:valAx>
        <c:axId val="6148099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max B (T)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crossBetween val="midCat"/>
        <c:dispUnits/>
        <c:majorUnit val="1"/>
      </c:valAx>
      <c:valAx>
        <c:axId val="1645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 hysteresis loss per 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480998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5"/>
          <c:y val="0.70525"/>
          <c:w val="0.36375"/>
          <c:h val="0.16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6675"/>
          <c:h val="0.97375"/>
        </c:manualLayout>
      </c:layout>
      <c:scatterChart>
        <c:scatterStyle val="smoothMarker"/>
        <c:varyColors val="0"/>
        <c:ser>
          <c:idx val="0"/>
          <c:order val="0"/>
          <c:tx>
            <c:v>1T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expt!$G$7:$G$20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expt!$H$7:$H$20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2T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expt!$M$7:$M$25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expt!$N$7:$N$25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v>3.08T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expt!$A$18:$A$87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xVal>
          <c:yVal>
            <c:numRef>
              <c:f>expt!$B$18:$B$87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v>4T 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expt!$G$26:$G$85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expt!$H$26:$H$85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1"/>
        </c:ser>
        <c:axId val="13904912"/>
        <c:axId val="58035345"/>
      </c:scatterChart>
      <c:valAx>
        <c:axId val="13904912"/>
        <c:scaling>
          <c:orientation val="minMax"/>
          <c:max val="4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Ramp rate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35345"/>
        <c:crosses val="autoZero"/>
        <c:crossBetween val="midCat"/>
        <c:dispUnits/>
        <c:majorUnit val="1"/>
      </c:valAx>
      <c:valAx>
        <c:axId val="58035345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Loss/cycle 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904912"/>
        <c:crosses val="autoZero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49"/>
          <c:w val="0.31725"/>
          <c:h val="0.13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335"/>
          <c:w val="0.91275"/>
          <c:h val="0.9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expt!$J$62:$J$69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expt!$K$62:$K$69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2556058"/>
        <c:axId val="3242475"/>
      </c:scatterChart>
      <c:valAx>
        <c:axId val="5255605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max 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2475"/>
        <c:crosses val="autoZero"/>
        <c:crossBetween val="midCat"/>
        <c:dispUnits/>
      </c:valAx>
      <c:valAx>
        <c:axId val="32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 per cycle / B`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56058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75"/>
          <c:y val="0.1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"/>
          <c:w val="0.9185"/>
          <c:h val="0.9455"/>
        </c:manualLayout>
      </c:layout>
      <c:scatterChart>
        <c:scatterStyle val="lineMarker"/>
        <c:varyColors val="0"/>
        <c:ser>
          <c:idx val="1"/>
          <c:order val="0"/>
          <c:tx>
            <c:v>expt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expt!$L$76:$L$83</c:f>
                <c:numCache>
                  <c:ptCount val="8"/>
                  <c:pt idx="0">
                    <c:v>0.2</c:v>
                  </c:pt>
                  <c:pt idx="1">
                    <c:v>0.1938204140279094</c:v>
                  </c:pt>
                  <c:pt idx="2">
                    <c:v>0.5781798931421446</c:v>
                  </c:pt>
                  <c:pt idx="3">
                    <c:v>0.38903303178324156</c:v>
                  </c:pt>
                  <c:pt idx="4">
                    <c:v>1.2108321161966666</c:v>
                  </c:pt>
                  <c:pt idx="5">
                    <c:v>1.267284473966957</c:v>
                  </c:pt>
                  <c:pt idx="6">
                    <c:v>1.5700313258759975</c:v>
                  </c:pt>
                  <c:pt idx="7">
                    <c:v>2.2631123166144804</c:v>
                  </c:pt>
                </c:numCache>
              </c:numRef>
            </c:plus>
            <c:minus>
              <c:numRef>
                <c:f>expt!$L$76:$L$83</c:f>
                <c:numCache>
                  <c:ptCount val="8"/>
                  <c:pt idx="0">
                    <c:v>0.2</c:v>
                  </c:pt>
                  <c:pt idx="1">
                    <c:v>0.1938204140279094</c:v>
                  </c:pt>
                  <c:pt idx="2">
                    <c:v>0.5781798931421446</c:v>
                  </c:pt>
                  <c:pt idx="3">
                    <c:v>0.38903303178324156</c:v>
                  </c:pt>
                  <c:pt idx="4">
                    <c:v>1.2108321161966666</c:v>
                  </c:pt>
                  <c:pt idx="5">
                    <c:v>1.267284473966957</c:v>
                  </c:pt>
                  <c:pt idx="6">
                    <c:v>1.5700313258759975</c:v>
                  </c:pt>
                  <c:pt idx="7">
                    <c:v>2.2631123166144804</c:v>
                  </c:pt>
                </c:numCache>
              </c:numRef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expt!$J$76:$J$83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expt!$K$76:$K$83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9182276"/>
        <c:axId val="61313893"/>
      </c:scatterChart>
      <c:valAx>
        <c:axId val="2918227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max B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13893"/>
        <c:crosses val="autoZero"/>
        <c:crossBetween val="midCat"/>
        <c:dispUnits/>
      </c:valAx>
      <c:valAx>
        <c:axId val="6131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hysteresis loss per 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82276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2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png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png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png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png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png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8.png" /><Relationship Id="rId5" Type="http://schemas.openxmlformats.org/officeDocument/2006/relationships/image" Target="../media/image12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9</xdr:col>
      <xdr:colOff>381000</xdr:colOff>
      <xdr:row>48</xdr:row>
      <xdr:rowOff>114300</xdr:rowOff>
    </xdr:to>
    <xdr:graphicFrame>
      <xdr:nvGraphicFramePr>
        <xdr:cNvPr id="1" name="Chart 7"/>
        <xdr:cNvGraphicFramePr/>
      </xdr:nvGraphicFramePr>
      <xdr:xfrm>
        <a:off x="0" y="4972050"/>
        <a:ext cx="5238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84</xdr:row>
      <xdr:rowOff>57150</xdr:rowOff>
    </xdr:from>
    <xdr:to>
      <xdr:col>9</xdr:col>
      <xdr:colOff>295275</xdr:colOff>
      <xdr:row>102</xdr:row>
      <xdr:rowOff>114300</xdr:rowOff>
    </xdr:to>
    <xdr:graphicFrame>
      <xdr:nvGraphicFramePr>
        <xdr:cNvPr id="2" name="Chart 8"/>
        <xdr:cNvGraphicFramePr/>
      </xdr:nvGraphicFramePr>
      <xdr:xfrm>
        <a:off x="0" y="14258925"/>
        <a:ext cx="51530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123825</xdr:rowOff>
    </xdr:from>
    <xdr:to>
      <xdr:col>9</xdr:col>
      <xdr:colOff>333375</xdr:colOff>
      <xdr:row>81</xdr:row>
      <xdr:rowOff>9525</xdr:rowOff>
    </xdr:to>
    <xdr:graphicFrame>
      <xdr:nvGraphicFramePr>
        <xdr:cNvPr id="3" name="Chart 9"/>
        <xdr:cNvGraphicFramePr/>
      </xdr:nvGraphicFramePr>
      <xdr:xfrm>
        <a:off x="0" y="10601325"/>
        <a:ext cx="51911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0</xdr:row>
      <xdr:rowOff>0</xdr:rowOff>
    </xdr:from>
    <xdr:to>
      <xdr:col>22</xdr:col>
      <xdr:colOff>533400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5972175" y="0"/>
        <a:ext cx="5248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21</xdr:row>
      <xdr:rowOff>19050</xdr:rowOff>
    </xdr:from>
    <xdr:to>
      <xdr:col>20</xdr:col>
      <xdr:colOff>514350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5867400" y="3895725"/>
        <a:ext cx="41148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104775</xdr:colOff>
      <xdr:row>38</xdr:row>
      <xdr:rowOff>123825</xdr:rowOff>
    </xdr:from>
    <xdr:to>
      <xdr:col>21</xdr:col>
      <xdr:colOff>9525</xdr:colOff>
      <xdr:row>57</xdr:row>
      <xdr:rowOff>104775</xdr:rowOff>
    </xdr:to>
    <xdr:graphicFrame>
      <xdr:nvGraphicFramePr>
        <xdr:cNvPr id="3" name="Chart 3"/>
        <xdr:cNvGraphicFramePr/>
      </xdr:nvGraphicFramePr>
      <xdr:xfrm>
        <a:off x="5915025" y="6915150"/>
        <a:ext cx="4171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13</xdr:row>
      <xdr:rowOff>161925</xdr:rowOff>
    </xdr:from>
    <xdr:to>
      <xdr:col>14</xdr:col>
      <xdr:colOff>85725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08610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11</xdr:row>
      <xdr:rowOff>38100</xdr:rowOff>
    </xdr:from>
    <xdr:to>
      <xdr:col>17</xdr:col>
      <xdr:colOff>390525</xdr:colOff>
      <xdr:row>13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505075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190500</xdr:colOff>
      <xdr:row>13</xdr:row>
      <xdr:rowOff>161925</xdr:rowOff>
    </xdr:from>
    <xdr:to>
      <xdr:col>17</xdr:col>
      <xdr:colOff>314325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3086100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</xdr:colOff>
      <xdr:row>18</xdr:row>
      <xdr:rowOff>38100</xdr:rowOff>
    </xdr:from>
    <xdr:to>
      <xdr:col>12</xdr:col>
      <xdr:colOff>57150</xdr:colOff>
      <xdr:row>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40386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</xdr:row>
      <xdr:rowOff>47625</xdr:rowOff>
    </xdr:from>
    <xdr:to>
      <xdr:col>17</xdr:col>
      <xdr:colOff>314325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25717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</xdr:row>
      <xdr:rowOff>123825</xdr:rowOff>
    </xdr:from>
    <xdr:to>
      <xdr:col>14</xdr:col>
      <xdr:colOff>333375</xdr:colOff>
      <xdr:row>5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819150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6</xdr:row>
      <xdr:rowOff>47625</xdr:rowOff>
    </xdr:from>
    <xdr:to>
      <xdr:col>13</xdr:col>
      <xdr:colOff>104775</xdr:colOff>
      <xdr:row>8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44780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447675</xdr:colOff>
      <xdr:row>16</xdr:row>
      <xdr:rowOff>0</xdr:rowOff>
    </xdr:from>
    <xdr:to>
      <xdr:col>17</xdr:col>
      <xdr:colOff>295275</xdr:colOff>
      <xdr:row>17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67650" y="3552825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219075</xdr:colOff>
      <xdr:row>16</xdr:row>
      <xdr:rowOff>57150</xdr:rowOff>
    </xdr:from>
    <xdr:to>
      <xdr:col>15</xdr:col>
      <xdr:colOff>190500</xdr:colOff>
      <xdr:row>18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76825" y="3609975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8</xdr:row>
      <xdr:rowOff>114300</xdr:rowOff>
    </xdr:from>
    <xdr:to>
      <xdr:col>17</xdr:col>
      <xdr:colOff>285750</xdr:colOff>
      <xdr:row>10</xdr:row>
      <xdr:rowOff>200025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62550" y="1933575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13</xdr:row>
      <xdr:rowOff>161925</xdr:rowOff>
    </xdr:from>
    <xdr:to>
      <xdr:col>14</xdr:col>
      <xdr:colOff>85725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08610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11</xdr:row>
      <xdr:rowOff>38100</xdr:rowOff>
    </xdr:from>
    <xdr:to>
      <xdr:col>17</xdr:col>
      <xdr:colOff>409575</xdr:colOff>
      <xdr:row>13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505075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190500</xdr:colOff>
      <xdr:row>13</xdr:row>
      <xdr:rowOff>161925</xdr:rowOff>
    </xdr:from>
    <xdr:to>
      <xdr:col>17</xdr:col>
      <xdr:colOff>333375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3086100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</xdr:colOff>
      <xdr:row>18</xdr:row>
      <xdr:rowOff>38100</xdr:rowOff>
    </xdr:from>
    <xdr:to>
      <xdr:col>12</xdr:col>
      <xdr:colOff>57150</xdr:colOff>
      <xdr:row>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40386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</xdr:row>
      <xdr:rowOff>47625</xdr:rowOff>
    </xdr:from>
    <xdr:to>
      <xdr:col>17</xdr:col>
      <xdr:colOff>333375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25717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</xdr:row>
      <xdr:rowOff>123825</xdr:rowOff>
    </xdr:from>
    <xdr:to>
      <xdr:col>14</xdr:col>
      <xdr:colOff>333375</xdr:colOff>
      <xdr:row>5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819150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6</xdr:row>
      <xdr:rowOff>47625</xdr:rowOff>
    </xdr:from>
    <xdr:to>
      <xdr:col>13</xdr:col>
      <xdr:colOff>104775</xdr:colOff>
      <xdr:row>8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44780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447675</xdr:colOff>
      <xdr:row>15</xdr:row>
      <xdr:rowOff>209550</xdr:rowOff>
    </xdr:from>
    <xdr:to>
      <xdr:col>17</xdr:col>
      <xdr:colOff>257175</xdr:colOff>
      <xdr:row>17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0" y="3552825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219075</xdr:colOff>
      <xdr:row>16</xdr:row>
      <xdr:rowOff>57150</xdr:rowOff>
    </xdr:from>
    <xdr:to>
      <xdr:col>15</xdr:col>
      <xdr:colOff>247650</xdr:colOff>
      <xdr:row>18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76825" y="3609975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8</xdr:row>
      <xdr:rowOff>114300</xdr:rowOff>
    </xdr:from>
    <xdr:to>
      <xdr:col>17</xdr:col>
      <xdr:colOff>304800</xdr:colOff>
      <xdr:row>10</xdr:row>
      <xdr:rowOff>200025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62550" y="1933575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13</xdr:row>
      <xdr:rowOff>161925</xdr:rowOff>
    </xdr:from>
    <xdr:to>
      <xdr:col>14</xdr:col>
      <xdr:colOff>85725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08610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11</xdr:row>
      <xdr:rowOff>38100</xdr:rowOff>
    </xdr:from>
    <xdr:to>
      <xdr:col>17</xdr:col>
      <xdr:colOff>428625</xdr:colOff>
      <xdr:row>13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505075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190500</xdr:colOff>
      <xdr:row>13</xdr:row>
      <xdr:rowOff>161925</xdr:rowOff>
    </xdr:from>
    <xdr:to>
      <xdr:col>17</xdr:col>
      <xdr:colOff>352425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3086100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</xdr:colOff>
      <xdr:row>18</xdr:row>
      <xdr:rowOff>38100</xdr:rowOff>
    </xdr:from>
    <xdr:to>
      <xdr:col>12</xdr:col>
      <xdr:colOff>57150</xdr:colOff>
      <xdr:row>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40386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</xdr:row>
      <xdr:rowOff>47625</xdr:rowOff>
    </xdr:from>
    <xdr:to>
      <xdr:col>17</xdr:col>
      <xdr:colOff>352425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25717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</xdr:row>
      <xdr:rowOff>123825</xdr:rowOff>
    </xdr:from>
    <xdr:to>
      <xdr:col>14</xdr:col>
      <xdr:colOff>333375</xdr:colOff>
      <xdr:row>5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819150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6</xdr:row>
      <xdr:rowOff>47625</xdr:rowOff>
    </xdr:from>
    <xdr:to>
      <xdr:col>13</xdr:col>
      <xdr:colOff>104775</xdr:colOff>
      <xdr:row>8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44780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447675</xdr:colOff>
      <xdr:row>15</xdr:row>
      <xdr:rowOff>209550</xdr:rowOff>
    </xdr:from>
    <xdr:to>
      <xdr:col>17</xdr:col>
      <xdr:colOff>276225</xdr:colOff>
      <xdr:row>17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0" y="3552825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219075</xdr:colOff>
      <xdr:row>16</xdr:row>
      <xdr:rowOff>57150</xdr:rowOff>
    </xdr:from>
    <xdr:to>
      <xdr:col>15</xdr:col>
      <xdr:colOff>247650</xdr:colOff>
      <xdr:row>18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76825" y="3609975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8</xdr:row>
      <xdr:rowOff>114300</xdr:rowOff>
    </xdr:from>
    <xdr:to>
      <xdr:col>17</xdr:col>
      <xdr:colOff>323850</xdr:colOff>
      <xdr:row>10</xdr:row>
      <xdr:rowOff>200025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62550" y="1933575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13</xdr:row>
      <xdr:rowOff>161925</xdr:rowOff>
    </xdr:from>
    <xdr:to>
      <xdr:col>14</xdr:col>
      <xdr:colOff>85725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08610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11</xdr:row>
      <xdr:rowOff>38100</xdr:rowOff>
    </xdr:from>
    <xdr:to>
      <xdr:col>17</xdr:col>
      <xdr:colOff>419100</xdr:colOff>
      <xdr:row>13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505075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190500</xdr:colOff>
      <xdr:row>13</xdr:row>
      <xdr:rowOff>161925</xdr:rowOff>
    </xdr:from>
    <xdr:to>
      <xdr:col>17</xdr:col>
      <xdr:colOff>342900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3086100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</xdr:colOff>
      <xdr:row>18</xdr:row>
      <xdr:rowOff>38100</xdr:rowOff>
    </xdr:from>
    <xdr:to>
      <xdr:col>12</xdr:col>
      <xdr:colOff>57150</xdr:colOff>
      <xdr:row>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40386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</xdr:row>
      <xdr:rowOff>47625</xdr:rowOff>
    </xdr:from>
    <xdr:to>
      <xdr:col>17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25717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</xdr:row>
      <xdr:rowOff>123825</xdr:rowOff>
    </xdr:from>
    <xdr:to>
      <xdr:col>14</xdr:col>
      <xdr:colOff>333375</xdr:colOff>
      <xdr:row>5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819150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6</xdr:row>
      <xdr:rowOff>47625</xdr:rowOff>
    </xdr:from>
    <xdr:to>
      <xdr:col>13</xdr:col>
      <xdr:colOff>104775</xdr:colOff>
      <xdr:row>8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44780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447675</xdr:colOff>
      <xdr:row>16</xdr:row>
      <xdr:rowOff>0</xdr:rowOff>
    </xdr:from>
    <xdr:to>
      <xdr:col>17</xdr:col>
      <xdr:colOff>266700</xdr:colOff>
      <xdr:row>17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0" y="3552825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219075</xdr:colOff>
      <xdr:row>16</xdr:row>
      <xdr:rowOff>57150</xdr:rowOff>
    </xdr:from>
    <xdr:to>
      <xdr:col>15</xdr:col>
      <xdr:colOff>247650</xdr:colOff>
      <xdr:row>18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76825" y="3609975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8</xdr:row>
      <xdr:rowOff>114300</xdr:rowOff>
    </xdr:from>
    <xdr:to>
      <xdr:col>17</xdr:col>
      <xdr:colOff>314325</xdr:colOff>
      <xdr:row>10</xdr:row>
      <xdr:rowOff>200025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62550" y="1933575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13</xdr:row>
      <xdr:rowOff>161925</xdr:rowOff>
    </xdr:from>
    <xdr:to>
      <xdr:col>14</xdr:col>
      <xdr:colOff>142875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08610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11</xdr:row>
      <xdr:rowOff>38100</xdr:rowOff>
    </xdr:from>
    <xdr:to>
      <xdr:col>18</xdr:col>
      <xdr:colOff>38100</xdr:colOff>
      <xdr:row>13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505075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190500</xdr:colOff>
      <xdr:row>13</xdr:row>
      <xdr:rowOff>161925</xdr:rowOff>
    </xdr:from>
    <xdr:to>
      <xdr:col>17</xdr:col>
      <xdr:colOff>361950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3086100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</xdr:colOff>
      <xdr:row>18</xdr:row>
      <xdr:rowOff>38100</xdr:rowOff>
    </xdr:from>
    <xdr:to>
      <xdr:col>12</xdr:col>
      <xdr:colOff>114300</xdr:colOff>
      <xdr:row>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40386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</xdr:row>
      <xdr:rowOff>47625</xdr:rowOff>
    </xdr:from>
    <xdr:to>
      <xdr:col>17</xdr:col>
      <xdr:colOff>361950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25717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</xdr:row>
      <xdr:rowOff>123825</xdr:rowOff>
    </xdr:from>
    <xdr:to>
      <xdr:col>14</xdr:col>
      <xdr:colOff>390525</xdr:colOff>
      <xdr:row>5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819150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6</xdr:row>
      <xdr:rowOff>47625</xdr:rowOff>
    </xdr:from>
    <xdr:to>
      <xdr:col>13</xdr:col>
      <xdr:colOff>161925</xdr:colOff>
      <xdr:row>8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44780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447675</xdr:colOff>
      <xdr:row>16</xdr:row>
      <xdr:rowOff>0</xdr:rowOff>
    </xdr:from>
    <xdr:to>
      <xdr:col>17</xdr:col>
      <xdr:colOff>285750</xdr:colOff>
      <xdr:row>17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53350" y="3552825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219075</xdr:colOff>
      <xdr:row>16</xdr:row>
      <xdr:rowOff>57150</xdr:rowOff>
    </xdr:from>
    <xdr:to>
      <xdr:col>15</xdr:col>
      <xdr:colOff>304800</xdr:colOff>
      <xdr:row>18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76825" y="3609975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8</xdr:row>
      <xdr:rowOff>114300</xdr:rowOff>
    </xdr:from>
    <xdr:to>
      <xdr:col>17</xdr:col>
      <xdr:colOff>390525</xdr:colOff>
      <xdr:row>10</xdr:row>
      <xdr:rowOff>200025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62550" y="1933575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13</xdr:row>
      <xdr:rowOff>161925</xdr:rowOff>
    </xdr:from>
    <xdr:to>
      <xdr:col>14</xdr:col>
      <xdr:colOff>142875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3086100"/>
          <a:ext cx="2209800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11</xdr:row>
      <xdr:rowOff>38100</xdr:rowOff>
    </xdr:from>
    <xdr:to>
      <xdr:col>18</xdr:col>
      <xdr:colOff>38100</xdr:colOff>
      <xdr:row>13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505075"/>
          <a:ext cx="39814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190500</xdr:colOff>
      <xdr:row>13</xdr:row>
      <xdr:rowOff>161925</xdr:rowOff>
    </xdr:from>
    <xdr:to>
      <xdr:col>17</xdr:col>
      <xdr:colOff>361950</xdr:colOff>
      <xdr:row>15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3086100"/>
          <a:ext cx="1628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</xdr:colOff>
      <xdr:row>18</xdr:row>
      <xdr:rowOff>38100</xdr:rowOff>
    </xdr:from>
    <xdr:to>
      <xdr:col>12</xdr:col>
      <xdr:colOff>114300</xdr:colOff>
      <xdr:row>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403860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1</xdr:row>
      <xdr:rowOff>47625</xdr:rowOff>
    </xdr:from>
    <xdr:to>
      <xdr:col>17</xdr:col>
      <xdr:colOff>361950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257175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3</xdr:row>
      <xdr:rowOff>123825</xdr:rowOff>
    </xdr:from>
    <xdr:to>
      <xdr:col>14</xdr:col>
      <xdr:colOff>390525</xdr:colOff>
      <xdr:row>5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819150"/>
          <a:ext cx="1924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6</xdr:row>
      <xdr:rowOff>47625</xdr:rowOff>
    </xdr:from>
    <xdr:to>
      <xdr:col>13</xdr:col>
      <xdr:colOff>161925</xdr:colOff>
      <xdr:row>8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14950" y="1447800"/>
          <a:ext cx="1152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447675</xdr:colOff>
      <xdr:row>16</xdr:row>
      <xdr:rowOff>0</xdr:rowOff>
    </xdr:from>
    <xdr:to>
      <xdr:col>17</xdr:col>
      <xdr:colOff>285750</xdr:colOff>
      <xdr:row>17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53350" y="3552825"/>
          <a:ext cx="819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219075</xdr:colOff>
      <xdr:row>16</xdr:row>
      <xdr:rowOff>57150</xdr:rowOff>
    </xdr:from>
    <xdr:to>
      <xdr:col>15</xdr:col>
      <xdr:colOff>304800</xdr:colOff>
      <xdr:row>18</xdr:row>
      <xdr:rowOff>57150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76825" y="3609975"/>
          <a:ext cx="2533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304800</xdr:colOff>
      <xdr:row>8</xdr:row>
      <xdr:rowOff>114300</xdr:rowOff>
    </xdr:from>
    <xdr:to>
      <xdr:col>17</xdr:col>
      <xdr:colOff>390525</xdr:colOff>
      <xdr:row>10</xdr:row>
      <xdr:rowOff>200025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62550" y="1933575"/>
          <a:ext cx="3514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7"/>
  <sheetViews>
    <sheetView tabSelected="1" workbookViewId="0" topLeftCell="A14">
      <selection activeCell="I22" sqref="I22"/>
    </sheetView>
  </sheetViews>
  <sheetFormatPr defaultColWidth="9.140625" defaultRowHeight="12.75"/>
  <cols>
    <col min="1" max="1" width="7.7109375" style="22" customWidth="1"/>
    <col min="2" max="2" width="7.7109375" style="24" customWidth="1"/>
    <col min="3" max="3" width="7.7109375" style="0" customWidth="1"/>
    <col min="4" max="4" width="7.7109375" style="24" customWidth="1"/>
    <col min="5" max="5" width="9.28125" style="28" customWidth="1"/>
    <col min="6" max="6" width="7.7109375" style="28" customWidth="1"/>
    <col min="7" max="7" width="9.57421875" style="28" customWidth="1"/>
    <col min="8" max="16384" width="7.7109375" style="0" customWidth="1"/>
  </cols>
  <sheetData>
    <row r="1" ht="16.5">
      <c r="A1" s="5" t="s">
        <v>205</v>
      </c>
    </row>
    <row r="2" ht="10.5" customHeight="1">
      <c r="A2" s="1"/>
    </row>
    <row r="3" ht="12.75">
      <c r="A3" s="21" t="s">
        <v>186</v>
      </c>
    </row>
    <row r="4" ht="10.5" customHeight="1">
      <c r="A4" s="21"/>
    </row>
    <row r="5" spans="1:5" ht="12.75">
      <c r="A5" s="21" t="s">
        <v>101</v>
      </c>
      <c r="E5" s="22" t="s">
        <v>213</v>
      </c>
    </row>
    <row r="6" ht="6.75" customHeight="1">
      <c r="A6" s="21"/>
    </row>
    <row r="7" ht="12.75">
      <c r="A7" s="25" t="s">
        <v>102</v>
      </c>
    </row>
    <row r="8" spans="1:8" ht="12.75">
      <c r="A8" t="s">
        <v>97</v>
      </c>
      <c r="B8" s="24">
        <v>-1.5115384925225488</v>
      </c>
      <c r="E8" s="35"/>
      <c r="F8" s="35"/>
      <c r="G8" s="35"/>
      <c r="H8" s="35"/>
    </row>
    <row r="9" spans="1:8" ht="12.75">
      <c r="A9" t="s">
        <v>98</v>
      </c>
      <c r="B9" s="24">
        <v>1.6956999479606343</v>
      </c>
      <c r="E9" s="35"/>
      <c r="F9" s="35"/>
      <c r="G9" s="35"/>
      <c r="H9" s="35"/>
    </row>
    <row r="10" spans="1:8" ht="12.75">
      <c r="A10" t="s">
        <v>99</v>
      </c>
      <c r="B10" s="24">
        <v>1.5358450022966983</v>
      </c>
      <c r="E10" s="35"/>
      <c r="F10" s="35"/>
      <c r="G10" s="35"/>
      <c r="H10" s="35"/>
    </row>
    <row r="11" spans="1:8" ht="12.75">
      <c r="A11" t="s">
        <v>100</v>
      </c>
      <c r="B11" s="24">
        <v>-1.503005886832788</v>
      </c>
      <c r="E11" s="35"/>
      <c r="F11" s="35"/>
      <c r="G11" s="35"/>
      <c r="H11" s="35"/>
    </row>
    <row r="12" ht="6.75" customHeight="1"/>
    <row r="13" ht="18.75" customHeight="1">
      <c r="A13" s="21" t="s">
        <v>190</v>
      </c>
    </row>
    <row r="14" ht="10.5" customHeight="1">
      <c r="A14" s="21"/>
    </row>
    <row r="15" spans="1:7" s="32" customFormat="1" ht="40.5" customHeight="1">
      <c r="A15" s="152" t="s">
        <v>86</v>
      </c>
      <c r="B15" s="141" t="s">
        <v>206</v>
      </c>
      <c r="C15" s="141" t="s">
        <v>207</v>
      </c>
      <c r="D15" s="153" t="s">
        <v>208</v>
      </c>
      <c r="E15" s="153" t="s">
        <v>210</v>
      </c>
      <c r="F15" s="143" t="s">
        <v>209</v>
      </c>
      <c r="G15" s="154" t="s">
        <v>212</v>
      </c>
    </row>
    <row r="16" spans="1:9" s="32" customFormat="1" ht="27.75" customHeight="1">
      <c r="A16" s="155" t="s">
        <v>184</v>
      </c>
      <c r="B16" s="156" t="s">
        <v>185</v>
      </c>
      <c r="C16" s="156" t="s">
        <v>185</v>
      </c>
      <c r="D16" s="156" t="s">
        <v>185</v>
      </c>
      <c r="E16" s="156" t="s">
        <v>185</v>
      </c>
      <c r="F16" s="156" t="s">
        <v>185</v>
      </c>
      <c r="G16" s="157" t="s">
        <v>187</v>
      </c>
      <c r="H16" s="204" t="s">
        <v>216</v>
      </c>
      <c r="I16" s="205"/>
    </row>
    <row r="17" spans="1:9" ht="14.25" customHeight="1">
      <c r="A17" s="158"/>
      <c r="B17" s="159"/>
      <c r="C17" s="159"/>
      <c r="D17" s="150" t="s">
        <v>211</v>
      </c>
      <c r="E17" s="150">
        <v>0</v>
      </c>
      <c r="F17" s="160">
        <v>4</v>
      </c>
      <c r="G17" s="161"/>
      <c r="H17" s="28">
        <v>1</v>
      </c>
      <c r="I17" s="28">
        <v>2</v>
      </c>
    </row>
    <row r="18" spans="1:9" ht="8.25" customHeight="1">
      <c r="A18" s="25"/>
      <c r="B18" s="26"/>
      <c r="C18" s="26"/>
      <c r="E18" s="24"/>
      <c r="F18" s="41"/>
      <c r="H18" s="28"/>
      <c r="I18" s="28"/>
    </row>
    <row r="19" spans="1:9" ht="15" customHeight="1">
      <c r="A19" s="140">
        <v>0</v>
      </c>
      <c r="B19" s="141">
        <v>0</v>
      </c>
      <c r="C19" s="141">
        <v>0</v>
      </c>
      <c r="D19" s="142">
        <v>0</v>
      </c>
      <c r="E19" s="142">
        <f aca="true" t="shared" si="0" ref="E19:E24">B19+D19</f>
        <v>0</v>
      </c>
      <c r="F19" s="143">
        <v>0</v>
      </c>
      <c r="G19" s="138">
        <v>0</v>
      </c>
      <c r="H19" s="28"/>
      <c r="I19" s="28"/>
    </row>
    <row r="20" spans="1:9" ht="15" customHeight="1">
      <c r="A20" s="144">
        <v>0.5</v>
      </c>
      <c r="B20" s="145">
        <f>'0.5T'!Q29</f>
        <v>9.205141639459233</v>
      </c>
      <c r="C20" s="146">
        <f>'0.5T'!Q30</f>
        <v>16.283520183428458</v>
      </c>
      <c r="D20" s="145">
        <f>B$8+B$9*A20+B$10*EXP(B$11*A20)</f>
        <v>0.06070375159113972</v>
      </c>
      <c r="E20" s="145">
        <f t="shared" si="0"/>
        <v>9.265845391050373</v>
      </c>
      <c r="F20" s="145">
        <f>C20+D20</f>
        <v>16.3442239350196</v>
      </c>
      <c r="G20" s="147">
        <f>(F20-E20)/F$17</f>
        <v>1.7695946359923065</v>
      </c>
      <c r="H20" s="24">
        <f>E20+G20*H17</f>
        <v>11.035440027042679</v>
      </c>
      <c r="I20" s="24">
        <f>E20+G20*I17</f>
        <v>12.805034663034986</v>
      </c>
    </row>
    <row r="21" spans="1:9" ht="12.75">
      <c r="A21" s="148">
        <v>1</v>
      </c>
      <c r="B21" s="145">
        <f>1T!Q29</f>
        <v>14.330251144131537</v>
      </c>
      <c r="C21" s="145">
        <f>1T!Q30</f>
        <v>27.68277005248581</v>
      </c>
      <c r="D21" s="145">
        <f>B$8+B$9*A21+B$10*EXP(B$11*A21)</f>
        <v>0.5258262459893965</v>
      </c>
      <c r="E21" s="145">
        <f t="shared" si="0"/>
        <v>14.856077390120934</v>
      </c>
      <c r="F21" s="145">
        <f>C21+D21</f>
        <v>28.208596298475207</v>
      </c>
      <c r="G21" s="147">
        <f>(F21-E21)/F$17</f>
        <v>3.3381297270885684</v>
      </c>
      <c r="H21" s="24"/>
      <c r="I21" s="24"/>
    </row>
    <row r="22" spans="1:9" ht="12.75">
      <c r="A22" s="148">
        <v>2</v>
      </c>
      <c r="B22" s="145">
        <f>2T!Q29</f>
        <v>21.63858272046496</v>
      </c>
      <c r="C22" s="145">
        <f>2T!Q30</f>
        <v>46.047587631160354</v>
      </c>
      <c r="D22" s="145">
        <f>B$8+B$9*A22+B$10*EXP(B$11*A22)</f>
        <v>1.9558683109498765</v>
      </c>
      <c r="E22" s="145">
        <f t="shared" si="0"/>
        <v>23.594451031414838</v>
      </c>
      <c r="F22" s="145">
        <f>C22+D22</f>
        <v>48.00345594211023</v>
      </c>
      <c r="G22" s="147">
        <f>(F22-E22)/F$17</f>
        <v>6.102251227673848</v>
      </c>
      <c r="H22" s="24">
        <f>E22+G22*H17</f>
        <v>29.696702259088685</v>
      </c>
      <c r="I22" s="24">
        <f>E22+G22*I17</f>
        <v>35.798953486762535</v>
      </c>
    </row>
    <row r="23" spans="1:9" ht="12.75">
      <c r="A23" s="148">
        <v>3.08</v>
      </c>
      <c r="B23" s="145">
        <f>'3.08T'!Q29</f>
        <v>28.121801755210928</v>
      </c>
      <c r="C23" s="145">
        <f>'3.08T'!Q30</f>
        <v>63.115190298191955</v>
      </c>
      <c r="D23" s="145">
        <f>B$8+B$9*A23+B$10*EXP(B$11*A23)</f>
        <v>3.7262102638607697</v>
      </c>
      <c r="E23" s="145">
        <f t="shared" si="0"/>
        <v>31.848012019071696</v>
      </c>
      <c r="F23" s="145">
        <f>C23+D23</f>
        <v>66.84140056205273</v>
      </c>
      <c r="G23" s="147">
        <f>(F23-E23)/F$17</f>
        <v>8.748347135745258</v>
      </c>
      <c r="H23" s="28"/>
      <c r="I23" s="28"/>
    </row>
    <row r="24" spans="1:7" ht="12.75">
      <c r="A24" s="149">
        <v>4</v>
      </c>
      <c r="B24" s="150">
        <f>4T!Q29</f>
        <v>33.77364685482731</v>
      </c>
      <c r="C24" s="150">
        <f>4T!Q30</f>
        <v>77.0712795403538</v>
      </c>
      <c r="D24" s="150">
        <f>B$8+B$9*A24+B$10*EXP(B$11*A24)</f>
        <v>5.27502277914826</v>
      </c>
      <c r="E24" s="150">
        <f t="shared" si="0"/>
        <v>39.04866963397557</v>
      </c>
      <c r="F24" s="150">
        <f>C24+D24</f>
        <v>82.34630231950206</v>
      </c>
      <c r="G24" s="151">
        <f>(F24-E24)/F$17</f>
        <v>10.824408171381622</v>
      </c>
    </row>
    <row r="25" spans="1:7" ht="12.75">
      <c r="A25" s="23"/>
      <c r="C25" s="24"/>
      <c r="E25" s="24"/>
      <c r="F25" s="24"/>
      <c r="G25"/>
    </row>
    <row r="26" spans="1:7" ht="12.75">
      <c r="A26" s="21"/>
      <c r="B26"/>
      <c r="C26" s="24"/>
      <c r="D26" s="28"/>
      <c r="G26"/>
    </row>
    <row r="27" spans="2:7" ht="12.75">
      <c r="B27"/>
      <c r="C27" s="24"/>
      <c r="D27" s="28"/>
      <c r="G27"/>
    </row>
    <row r="28" spans="3:7" ht="12.75">
      <c r="C28" s="24"/>
      <c r="E28" s="24"/>
      <c r="F28" s="24"/>
      <c r="G28"/>
    </row>
    <row r="29" spans="3:7" ht="12.75">
      <c r="C29" s="24"/>
      <c r="E29" s="24"/>
      <c r="F29" s="24"/>
      <c r="G29"/>
    </row>
    <row r="30" spans="3:7" ht="12.75">
      <c r="C30" s="24"/>
      <c r="E30" s="24"/>
      <c r="F30" s="24"/>
      <c r="G30" s="24"/>
    </row>
    <row r="31" spans="3:7" ht="12.75">
      <c r="C31" s="24"/>
      <c r="E31" s="24"/>
      <c r="F31" s="24"/>
      <c r="G31" s="24"/>
    </row>
    <row r="32" spans="1:7" ht="12.75">
      <c r="A32" s="23"/>
      <c r="C32" s="24"/>
      <c r="E32" s="24"/>
      <c r="F32" s="24"/>
      <c r="G32" s="24"/>
    </row>
    <row r="33" spans="1:7" ht="12.75">
      <c r="A33" s="23"/>
      <c r="C33" s="24"/>
      <c r="E33" s="24"/>
      <c r="F33" s="24"/>
      <c r="G33" s="24"/>
    </row>
    <row r="34" spans="3:7" ht="12.75">
      <c r="C34" s="24"/>
      <c r="E34" s="24"/>
      <c r="F34" s="24"/>
      <c r="G34" s="24"/>
    </row>
    <row r="35" spans="3:7" ht="12.75">
      <c r="C35" s="24"/>
      <c r="E35" s="24"/>
      <c r="F35" s="24"/>
      <c r="G35" s="24"/>
    </row>
    <row r="36" spans="1:7" ht="12.75">
      <c r="A36" s="23"/>
      <c r="C36" s="24"/>
      <c r="E36" s="24"/>
      <c r="F36" s="24"/>
      <c r="G36" s="24"/>
    </row>
    <row r="37" ht="12" customHeight="1">
      <c r="A37" s="21"/>
    </row>
    <row r="38" spans="1:8" s="32" customFormat="1" ht="25.5" customHeight="1">
      <c r="A38" s="21"/>
      <c r="B38" s="24"/>
      <c r="C38"/>
      <c r="D38" s="24"/>
      <c r="E38" s="28"/>
      <c r="F38" s="28"/>
      <c r="G38" s="28"/>
      <c r="H38"/>
    </row>
    <row r="39" ht="12.75">
      <c r="H39" s="32"/>
    </row>
    <row r="40" spans="1:7" ht="12.75">
      <c r="A40" s="49"/>
      <c r="B40" s="42"/>
      <c r="C40" s="32"/>
      <c r="D40" s="42"/>
      <c r="E40" s="41"/>
      <c r="F40" s="41"/>
      <c r="G40" s="41"/>
    </row>
    <row r="41" spans="1:6" ht="12.75">
      <c r="A41" s="44"/>
      <c r="B41" s="42"/>
      <c r="C41" s="41"/>
      <c r="D41" s="42"/>
      <c r="E41" s="41"/>
      <c r="F41" s="41"/>
    </row>
    <row r="42" spans="1:6" ht="12.75">
      <c r="A42" s="37"/>
      <c r="B42" s="43"/>
      <c r="C42" s="24"/>
      <c r="E42" s="24"/>
      <c r="F42" s="24"/>
    </row>
    <row r="43" spans="1:6" ht="12.75">
      <c r="A43" s="37"/>
      <c r="B43" s="43"/>
      <c r="C43" s="24"/>
      <c r="E43" s="24"/>
      <c r="F43" s="24"/>
    </row>
    <row r="44" spans="1:6" ht="12.75">
      <c r="A44" s="24"/>
      <c r="C44" s="24"/>
      <c r="E44" s="24"/>
      <c r="F44" s="24"/>
    </row>
    <row r="45" spans="1:6" ht="12.75">
      <c r="A45" s="24"/>
      <c r="C45" s="24"/>
      <c r="E45" s="24"/>
      <c r="F45" s="24"/>
    </row>
    <row r="46" spans="1:6" ht="12.75">
      <c r="A46" s="24"/>
      <c r="C46" s="24"/>
      <c r="E46" s="24"/>
      <c r="F46" s="24"/>
    </row>
    <row r="47" spans="1:6" ht="12.75">
      <c r="A47" s="24"/>
      <c r="C47" s="24"/>
      <c r="E47" s="24"/>
      <c r="F47" s="24"/>
    </row>
    <row r="48" spans="1:3" ht="12.75">
      <c r="A48" s="24"/>
      <c r="C48" s="35"/>
    </row>
    <row r="49" ht="12.75">
      <c r="A49" s="21"/>
    </row>
    <row r="50" ht="12.75">
      <c r="A50" s="21"/>
    </row>
    <row r="52" spans="1:6" ht="12.75">
      <c r="A52" s="49"/>
      <c r="B52" s="42"/>
      <c r="C52" s="32"/>
      <c r="D52" s="42"/>
      <c r="E52" s="41"/>
      <c r="F52" s="41"/>
    </row>
    <row r="53" spans="1:6" ht="12.75">
      <c r="A53" s="44"/>
      <c r="B53" s="42"/>
      <c r="C53" s="41"/>
      <c r="D53" s="42"/>
      <c r="E53" s="41"/>
      <c r="F53" s="41"/>
    </row>
    <row r="54" spans="1:6" ht="12.75">
      <c r="A54" s="37"/>
      <c r="B54" s="43"/>
      <c r="C54" s="24"/>
      <c r="E54" s="24"/>
      <c r="F54" s="24"/>
    </row>
    <row r="55" spans="1:6" ht="12.75">
      <c r="A55" s="37"/>
      <c r="B55" s="43"/>
      <c r="C55" s="24"/>
      <c r="E55" s="24"/>
      <c r="F55" s="24"/>
    </row>
    <row r="56" spans="1:6" ht="12.75">
      <c r="A56" s="24"/>
      <c r="C56" s="24"/>
      <c r="E56" s="24"/>
      <c r="F56" s="24"/>
    </row>
    <row r="57" spans="1:6" ht="12.75">
      <c r="A57" s="24"/>
      <c r="C57" s="24"/>
      <c r="E57" s="24"/>
      <c r="F57" s="24"/>
    </row>
    <row r="58" spans="1:6" ht="12.75">
      <c r="A58" s="24"/>
      <c r="C58" s="24"/>
      <c r="E58" s="24"/>
      <c r="F58" s="24"/>
    </row>
    <row r="59" spans="1:6" ht="12.75">
      <c r="A59" s="24"/>
      <c r="C59" s="24"/>
      <c r="E59" s="24"/>
      <c r="F59" s="24"/>
    </row>
    <row r="60" spans="3:7" ht="12.75">
      <c r="C60" s="24"/>
      <c r="E60" s="24"/>
      <c r="F60" s="24"/>
      <c r="G60" s="24"/>
    </row>
    <row r="61" spans="3:7" ht="12.75">
      <c r="C61" s="24"/>
      <c r="E61" s="24"/>
      <c r="F61" s="24"/>
      <c r="G61" s="24"/>
    </row>
    <row r="62" spans="3:7" ht="12.75">
      <c r="C62" s="24"/>
      <c r="E62" s="24"/>
      <c r="F62" s="24"/>
      <c r="G62" s="24"/>
    </row>
    <row r="63" spans="3:7" ht="12.75">
      <c r="C63" s="24"/>
      <c r="E63" s="24"/>
      <c r="F63" s="24"/>
      <c r="G63" s="24"/>
    </row>
    <row r="64" spans="1:7" ht="12.75">
      <c r="A64" s="23"/>
      <c r="C64" s="24"/>
      <c r="E64" s="24"/>
      <c r="F64" s="24"/>
      <c r="G64" s="24"/>
    </row>
    <row r="65" spans="1:7" ht="12.75">
      <c r="A65" s="23"/>
      <c r="C65" s="24"/>
      <c r="E65" s="24"/>
      <c r="F65" s="24"/>
      <c r="G65" s="24"/>
    </row>
    <row r="66" spans="3:7" ht="12.75">
      <c r="C66" s="24"/>
      <c r="E66" s="24"/>
      <c r="F66" s="24"/>
      <c r="G66" s="24"/>
    </row>
    <row r="67" spans="3:7" ht="12.75">
      <c r="C67" s="24"/>
      <c r="E67" s="24"/>
      <c r="F67" s="24"/>
      <c r="G67" s="24"/>
    </row>
  </sheetData>
  <mergeCells count="1">
    <mergeCell ref="H16:I16"/>
  </mergeCells>
  <printOptions/>
  <pageMargins left="0.75" right="0.75" top="0.51" bottom="0.51" header="0.5" footer="0.5"/>
  <pageSetup horizontalDpi="600" verticalDpi="600" orientation="portrait" paperSize="9" r:id="rId4"/>
  <drawing r:id="rId3"/>
  <legacyDrawing r:id="rId2"/>
  <oleObjects>
    <oleObject progId="Equation.3" shapeId="2747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G15">
      <selection activeCell="L17" sqref="L17"/>
    </sheetView>
  </sheetViews>
  <sheetFormatPr defaultColWidth="9.140625" defaultRowHeight="12.75"/>
  <cols>
    <col min="1" max="1" width="6.00390625" style="23" customWidth="1"/>
    <col min="2" max="2" width="6.7109375" style="24" customWidth="1"/>
    <col min="3" max="3" width="2.421875" style="0" customWidth="1"/>
    <col min="4" max="4" width="7.00390625" style="0" customWidth="1"/>
    <col min="5" max="5" width="6.8515625" style="0" customWidth="1"/>
    <col min="6" max="6" width="2.421875" style="0" customWidth="1"/>
    <col min="7" max="7" width="7.28125" style="0" customWidth="1"/>
    <col min="8" max="8" width="8.00390625" style="0" customWidth="1"/>
    <col min="9" max="9" width="2.7109375" style="0" customWidth="1"/>
    <col min="10" max="10" width="6.7109375" style="0" customWidth="1"/>
    <col min="11" max="11" width="7.28125" style="0" customWidth="1"/>
    <col min="12" max="12" width="7.140625" style="0" customWidth="1"/>
    <col min="13" max="13" width="7.00390625" style="0" customWidth="1"/>
    <col min="14" max="14" width="9.57421875" style="0" customWidth="1"/>
  </cols>
  <sheetData>
    <row r="1" ht="16.5">
      <c r="A1" s="5" t="s">
        <v>205</v>
      </c>
    </row>
    <row r="2" ht="15.75" customHeight="1">
      <c r="A2" s="162" t="s">
        <v>149</v>
      </c>
    </row>
    <row r="3" ht="17.25" customHeight="1">
      <c r="A3" s="23" t="s">
        <v>150</v>
      </c>
    </row>
    <row r="4" ht="9" customHeight="1"/>
    <row r="5" spans="1:14" s="32" customFormat="1" ht="12.75">
      <c r="A5" s="99" t="s">
        <v>152</v>
      </c>
      <c r="B5" s="101" t="s">
        <v>148</v>
      </c>
      <c r="D5" s="99" t="s">
        <v>152</v>
      </c>
      <c r="E5" s="100" t="s">
        <v>105</v>
      </c>
      <c r="G5" s="99" t="s">
        <v>152</v>
      </c>
      <c r="H5" s="100" t="s">
        <v>106</v>
      </c>
      <c r="J5" s="99" t="s">
        <v>152</v>
      </c>
      <c r="K5" s="100" t="s">
        <v>153</v>
      </c>
      <c r="M5" s="99" t="s">
        <v>152</v>
      </c>
      <c r="N5" s="100" t="s">
        <v>154</v>
      </c>
    </row>
    <row r="6" spans="1:14" s="32" customFormat="1" ht="26.25" customHeight="1">
      <c r="A6" s="98" t="s">
        <v>104</v>
      </c>
      <c r="B6" s="42" t="s">
        <v>151</v>
      </c>
      <c r="D6" s="23" t="s">
        <v>104</v>
      </c>
      <c r="E6" s="42" t="s">
        <v>151</v>
      </c>
      <c r="G6" s="23" t="s">
        <v>104</v>
      </c>
      <c r="H6" s="42" t="s">
        <v>151</v>
      </c>
      <c r="J6" s="23" t="s">
        <v>104</v>
      </c>
      <c r="K6" s="42" t="s">
        <v>151</v>
      </c>
      <c r="M6" s="23" t="s">
        <v>104</v>
      </c>
      <c r="N6" s="42" t="s">
        <v>151</v>
      </c>
    </row>
    <row r="7" spans="1:14" ht="12.75">
      <c r="A7" s="23">
        <v>1.83918296095</v>
      </c>
      <c r="B7" s="24">
        <v>5.79008444479</v>
      </c>
      <c r="D7" s="23">
        <v>1.86061953088</v>
      </c>
      <c r="E7" s="24">
        <v>13.1099200297</v>
      </c>
      <c r="G7" s="23">
        <v>1.87725630618</v>
      </c>
      <c r="H7" s="24">
        <v>20.6185921535</v>
      </c>
      <c r="J7" s="23">
        <v>0.284652619162</v>
      </c>
      <c r="K7" s="24">
        <v>18.7040026518</v>
      </c>
      <c r="M7" s="23">
        <v>0.0282885372317</v>
      </c>
      <c r="N7" s="24">
        <v>15.5093894295</v>
      </c>
    </row>
    <row r="8" spans="1:14" ht="12.75">
      <c r="A8" s="23">
        <v>1.84130016349</v>
      </c>
      <c r="B8" s="24">
        <v>5.79169958423</v>
      </c>
      <c r="D8" s="23">
        <v>1.85979236996</v>
      </c>
      <c r="E8" s="24">
        <v>13.1641520632</v>
      </c>
      <c r="G8" s="23">
        <v>1.87736953695</v>
      </c>
      <c r="H8" s="24">
        <v>20.9512563695</v>
      </c>
      <c r="J8" s="23">
        <v>0.284697794692</v>
      </c>
      <c r="K8" s="24">
        <v>22.3639305942</v>
      </c>
      <c r="M8" s="23">
        <v>0.0282877780164</v>
      </c>
      <c r="N8" s="24">
        <v>21.60092024</v>
      </c>
    </row>
    <row r="9" spans="1:14" ht="12.75">
      <c r="A9" s="23">
        <v>1.83744169288</v>
      </c>
      <c r="B9" s="24">
        <v>5.88139066835</v>
      </c>
      <c r="D9" s="23">
        <v>1.86026307379</v>
      </c>
      <c r="E9" s="24">
        <v>13.2695913909</v>
      </c>
      <c r="G9" s="23">
        <v>1.87728712345</v>
      </c>
      <c r="H9" s="24">
        <v>21.0651500308</v>
      </c>
      <c r="J9" s="23">
        <v>0.284736399789</v>
      </c>
      <c r="K9" s="24">
        <v>22.8922299067</v>
      </c>
      <c r="M9" s="23">
        <v>1.90046685148</v>
      </c>
      <c r="N9" s="24">
        <v>36.9259697867</v>
      </c>
    </row>
    <row r="10" spans="1:14" ht="12.75">
      <c r="A10" s="23">
        <v>2.81010907747</v>
      </c>
      <c r="B10" s="24">
        <v>6.41301813836</v>
      </c>
      <c r="D10" s="23">
        <v>1.86056587146</v>
      </c>
      <c r="E10" s="24">
        <v>13.395314152</v>
      </c>
      <c r="G10" s="23">
        <v>1.87724820281</v>
      </c>
      <c r="H10" s="24">
        <v>21.5036242275</v>
      </c>
      <c r="J10" s="23">
        <v>0.284959689664</v>
      </c>
      <c r="K10" s="24">
        <v>19.6660076507</v>
      </c>
      <c r="M10" s="23">
        <v>1.90040960082</v>
      </c>
      <c r="N10" s="24">
        <v>37.1438802494</v>
      </c>
    </row>
    <row r="11" spans="1:14" ht="12.75">
      <c r="A11" s="23">
        <v>2.79173010944</v>
      </c>
      <c r="B11" s="24">
        <v>6.61295764912</v>
      </c>
      <c r="D11" s="23">
        <v>2.79944608249</v>
      </c>
      <c r="E11" s="24">
        <v>17.0243929501</v>
      </c>
      <c r="G11" s="23">
        <v>2.83131660538</v>
      </c>
      <c r="H11" s="24">
        <v>23.220836102</v>
      </c>
      <c r="J11" s="23">
        <v>0.569060100382</v>
      </c>
      <c r="K11" s="24">
        <v>22.4670920138</v>
      </c>
      <c r="M11" s="23">
        <v>1.90047971583</v>
      </c>
      <c r="N11" s="24">
        <v>38.2945035694</v>
      </c>
    </row>
    <row r="12" spans="1:14" ht="12.75">
      <c r="A12" s="23">
        <v>2.79074190478</v>
      </c>
      <c r="B12" s="24">
        <v>6.63496394441</v>
      </c>
      <c r="D12" s="23">
        <v>2.79894081498</v>
      </c>
      <c r="E12" s="24">
        <v>17.111458686</v>
      </c>
      <c r="G12" s="23">
        <v>2.83410735106</v>
      </c>
      <c r="H12" s="24">
        <v>23.5839579082</v>
      </c>
      <c r="J12" s="23">
        <v>0.569127739612</v>
      </c>
      <c r="K12" s="24">
        <v>22.3782792275</v>
      </c>
      <c r="M12" s="23">
        <v>1.90046896756</v>
      </c>
      <c r="N12" s="24">
        <v>40.4004596718</v>
      </c>
    </row>
    <row r="13" spans="4:14" ht="12.75">
      <c r="D13" s="23">
        <v>2.79925812928</v>
      </c>
      <c r="E13" s="24">
        <v>17.1224707781</v>
      </c>
      <c r="G13" s="23">
        <v>2.8276488407</v>
      </c>
      <c r="H13" s="24">
        <v>23.9470327653</v>
      </c>
      <c r="J13" s="23">
        <v>0.569164460858</v>
      </c>
      <c r="K13" s="24">
        <v>23.1078668651</v>
      </c>
      <c r="M13" s="23">
        <v>2.82313805244</v>
      </c>
      <c r="N13" s="24">
        <v>45.27274235</v>
      </c>
    </row>
    <row r="14" spans="7:14" ht="12.75">
      <c r="G14" s="23">
        <v>2.79652713203</v>
      </c>
      <c r="H14" s="24">
        <v>24.0164588793</v>
      </c>
      <c r="J14" s="23">
        <v>0.56916899079</v>
      </c>
      <c r="K14" s="24">
        <v>22.4578427529</v>
      </c>
      <c r="M14" s="23">
        <v>2.82310644514</v>
      </c>
      <c r="N14" s="24">
        <v>45.6531375072</v>
      </c>
    </row>
    <row r="15" spans="7:14" ht="12.75">
      <c r="G15" s="23">
        <v>2.82775606348</v>
      </c>
      <c r="H15" s="24">
        <v>24.3031478049</v>
      </c>
      <c r="J15" s="23">
        <v>0.569196796408</v>
      </c>
      <c r="K15" s="24">
        <v>22.2892133483</v>
      </c>
      <c r="M15" s="23">
        <v>2.82305262292</v>
      </c>
      <c r="N15" s="24">
        <v>45.7926254944</v>
      </c>
    </row>
    <row r="16" spans="1:14" ht="12.75">
      <c r="A16" s="99" t="s">
        <v>152</v>
      </c>
      <c r="B16" s="101" t="s">
        <v>107</v>
      </c>
      <c r="G16" s="23">
        <v>2.83613691563</v>
      </c>
      <c r="H16" s="24">
        <v>24.4894156076</v>
      </c>
      <c r="J16" s="23">
        <v>0.758723243401</v>
      </c>
      <c r="K16" s="24">
        <v>26.0854641738</v>
      </c>
      <c r="M16" s="23">
        <v>3.05869142218</v>
      </c>
      <c r="N16" s="24">
        <v>46.0593394573</v>
      </c>
    </row>
    <row r="17" spans="1:14" ht="29.25" customHeight="1">
      <c r="A17" s="98" t="s">
        <v>104</v>
      </c>
      <c r="B17" s="42" t="s">
        <v>151</v>
      </c>
      <c r="G17" s="23">
        <v>2.8277695042</v>
      </c>
      <c r="H17" s="24">
        <v>24.4999383287</v>
      </c>
      <c r="J17" s="23">
        <v>0.758742081031</v>
      </c>
      <c r="K17" s="24">
        <v>24.3943270517</v>
      </c>
      <c r="M17" s="23">
        <v>3.05838920558</v>
      </c>
      <c r="N17" s="24">
        <v>47.5162249881</v>
      </c>
    </row>
    <row r="18" spans="1:14" ht="12.75">
      <c r="A18" s="23">
        <v>0.275702343612</v>
      </c>
      <c r="B18" s="24">
        <v>29.688639626</v>
      </c>
      <c r="G18" s="23">
        <v>3.75358290392</v>
      </c>
      <c r="H18" s="24">
        <v>25.4906532387</v>
      </c>
      <c r="J18" s="23">
        <v>0.758899597938</v>
      </c>
      <c r="K18" s="24">
        <v>23.5150104798</v>
      </c>
      <c r="M18" s="23">
        <v>3.05888670188</v>
      </c>
      <c r="N18" s="24">
        <v>48.9462172815</v>
      </c>
    </row>
    <row r="19" spans="1:14" ht="12.75">
      <c r="A19" s="23">
        <v>0.275701899201</v>
      </c>
      <c r="B19" s="24">
        <v>30.7884545341</v>
      </c>
      <c r="G19" s="23">
        <v>3.74584962265</v>
      </c>
      <c r="H19" s="24">
        <v>25.8265090711</v>
      </c>
      <c r="J19" s="23">
        <v>0.758936420126</v>
      </c>
      <c r="K19" s="24">
        <v>26.1176603189</v>
      </c>
      <c r="M19" s="23">
        <v>3.77256205225</v>
      </c>
      <c r="N19" s="24">
        <v>49.9134646989</v>
      </c>
    </row>
    <row r="20" spans="1:14" ht="12.75">
      <c r="A20" s="23">
        <v>0.275708549916</v>
      </c>
      <c r="B20" s="24">
        <v>31.6745808803</v>
      </c>
      <c r="G20" s="23">
        <v>3.74990473649</v>
      </c>
      <c r="H20" s="24">
        <v>26.1855764496</v>
      </c>
      <c r="J20" s="23">
        <v>0.94832826352</v>
      </c>
      <c r="K20" s="24">
        <v>27.0244980137</v>
      </c>
      <c r="M20" s="23">
        <v>3.77294014141</v>
      </c>
      <c r="N20" s="24">
        <v>50.6196963395</v>
      </c>
    </row>
    <row r="21" spans="1:14" ht="12.75">
      <c r="A21" s="23">
        <v>0.275682571024</v>
      </c>
      <c r="B21" s="24">
        <v>32.411632896</v>
      </c>
      <c r="J21" s="23">
        <v>0.948468083942</v>
      </c>
      <c r="K21" s="24">
        <v>25.4108022396</v>
      </c>
      <c r="M21" s="23">
        <v>3.77308964286</v>
      </c>
      <c r="N21" s="24">
        <v>50.8401581701</v>
      </c>
    </row>
    <row r="22" spans="1:14" ht="12.75">
      <c r="A22" s="23">
        <v>0.275682110216</v>
      </c>
      <c r="B22" s="24">
        <v>32.4819665635</v>
      </c>
      <c r="J22" s="23">
        <v>0.948508322837</v>
      </c>
      <c r="K22" s="24">
        <v>27.6620996451</v>
      </c>
      <c r="M22" s="23">
        <v>3.84982053117</v>
      </c>
      <c r="N22" s="24">
        <v>51.7301085543</v>
      </c>
    </row>
    <row r="23" spans="1:14" ht="12.75">
      <c r="A23" s="23">
        <v>0.275684008615</v>
      </c>
      <c r="B23" s="24">
        <v>37.9464439799</v>
      </c>
      <c r="J23" s="23">
        <v>0.948521846247</v>
      </c>
      <c r="K23" s="24">
        <v>26.3098038128</v>
      </c>
      <c r="M23" s="23">
        <v>3.84760471072</v>
      </c>
      <c r="N23" s="24">
        <v>52.3137879665</v>
      </c>
    </row>
    <row r="24" spans="1:14" ht="12.75">
      <c r="A24" s="23">
        <v>0.312030024595</v>
      </c>
      <c r="B24" s="24">
        <v>34.626926374</v>
      </c>
      <c r="D24" s="99" t="s">
        <v>152</v>
      </c>
      <c r="E24" s="100" t="s">
        <v>108</v>
      </c>
      <c r="G24" s="99" t="s">
        <v>152</v>
      </c>
      <c r="H24" s="100" t="s">
        <v>109</v>
      </c>
      <c r="J24" s="23">
        <v>0.948620724586</v>
      </c>
      <c r="K24" s="24">
        <v>26.1665326432</v>
      </c>
      <c r="M24" s="23">
        <v>3.84790213373</v>
      </c>
      <c r="N24" s="24">
        <v>53.1053056428</v>
      </c>
    </row>
    <row r="25" spans="1:14" ht="25.5">
      <c r="A25" s="23">
        <v>0.312030133801</v>
      </c>
      <c r="B25" s="24">
        <v>34.7930119183</v>
      </c>
      <c r="D25" s="98" t="s">
        <v>104</v>
      </c>
      <c r="E25" s="42" t="s">
        <v>151</v>
      </c>
      <c r="G25" s="98" t="s">
        <v>104</v>
      </c>
      <c r="H25" s="42" t="s">
        <v>151</v>
      </c>
      <c r="J25" s="23">
        <v>1.13784012172</v>
      </c>
      <c r="K25" s="24">
        <v>28.3275483666</v>
      </c>
      <c r="M25" s="23">
        <v>3.84804450442</v>
      </c>
      <c r="N25" s="24">
        <v>53.6659361944</v>
      </c>
    </row>
    <row r="26" spans="1:11" ht="12.75">
      <c r="A26" s="23">
        <v>0.31202925917</v>
      </c>
      <c r="B26" s="24">
        <v>34.9926403107</v>
      </c>
      <c r="D26" s="23">
        <v>0.949263109923</v>
      </c>
      <c r="E26" s="24">
        <v>54.9753225462</v>
      </c>
      <c r="G26" s="23">
        <v>0.949362569985</v>
      </c>
      <c r="H26" s="24">
        <v>68.6460343847</v>
      </c>
      <c r="J26" s="23">
        <v>1.1378705005</v>
      </c>
      <c r="K26" s="24">
        <v>28.3808312184</v>
      </c>
    </row>
    <row r="27" spans="1:11" ht="12.75">
      <c r="A27" s="23">
        <v>0.551697723547</v>
      </c>
      <c r="B27" s="24">
        <v>40.4031766012</v>
      </c>
      <c r="D27" s="23">
        <v>0.949254500832</v>
      </c>
      <c r="E27" s="24">
        <v>58.7688954498</v>
      </c>
      <c r="G27" s="23">
        <v>0.949368692074</v>
      </c>
      <c r="H27" s="24">
        <v>69.0804803703</v>
      </c>
      <c r="J27" s="23">
        <v>1.1380184017</v>
      </c>
      <c r="K27" s="24">
        <v>29.5100094953</v>
      </c>
    </row>
    <row r="28" spans="1:11" ht="12.75">
      <c r="A28" s="23">
        <v>0.551266444502</v>
      </c>
      <c r="B28" s="24">
        <v>41.1820574802</v>
      </c>
      <c r="D28" s="23">
        <v>0.949296014166</v>
      </c>
      <c r="E28" s="24">
        <v>60.4080421813</v>
      </c>
      <c r="G28" s="23">
        <v>0.949337927214</v>
      </c>
      <c r="H28" s="24">
        <v>69.7423921202</v>
      </c>
      <c r="J28" s="23">
        <v>1.1381464402</v>
      </c>
      <c r="K28" s="24">
        <v>29.2834835161</v>
      </c>
    </row>
    <row r="29" spans="1:11" ht="12.75">
      <c r="A29" s="23">
        <v>0.551231803794</v>
      </c>
      <c r="B29" s="24">
        <v>41.2131644437</v>
      </c>
      <c r="D29" s="23">
        <v>1.89905509677</v>
      </c>
      <c r="E29" s="24">
        <v>81.1640809853</v>
      </c>
      <c r="G29" s="23">
        <v>0.949378422414</v>
      </c>
      <c r="H29" s="24">
        <v>72.3099855377</v>
      </c>
      <c r="J29" s="23">
        <v>1.32726062627</v>
      </c>
      <c r="K29" s="24">
        <v>31.1276563566</v>
      </c>
    </row>
    <row r="30" spans="1:11" ht="12.75">
      <c r="A30" s="23">
        <v>0.551228533959</v>
      </c>
      <c r="B30" s="24">
        <v>43.2963089922</v>
      </c>
      <c r="D30" s="23">
        <v>1.90136953764</v>
      </c>
      <c r="E30" s="24">
        <v>81.3646339285</v>
      </c>
      <c r="G30" s="23">
        <v>1.13933390682</v>
      </c>
      <c r="H30" s="24">
        <v>74.8258009191</v>
      </c>
      <c r="J30" s="23">
        <v>1.32729490729</v>
      </c>
      <c r="K30" s="24">
        <v>29.735863146</v>
      </c>
    </row>
    <row r="31" spans="1:11" ht="12.75">
      <c r="A31" s="23">
        <v>0.63408158736</v>
      </c>
      <c r="B31" s="24">
        <v>39.3578839725</v>
      </c>
      <c r="D31" s="23">
        <v>1.90166375446</v>
      </c>
      <c r="E31" s="24">
        <v>81.484921385</v>
      </c>
      <c r="G31" s="23">
        <v>1.13929617044</v>
      </c>
      <c r="H31" s="24">
        <v>76.9858808455</v>
      </c>
      <c r="J31" s="23">
        <v>1.32751879985</v>
      </c>
      <c r="K31" s="24">
        <v>29.4241786178</v>
      </c>
    </row>
    <row r="32" spans="1:11" ht="12.75">
      <c r="A32" s="23">
        <v>0.734964333279</v>
      </c>
      <c r="B32" s="24">
        <v>36.0783168138</v>
      </c>
      <c r="D32" s="23">
        <v>1.89837439292</v>
      </c>
      <c r="E32" s="24">
        <v>81.6808190058</v>
      </c>
      <c r="G32" s="23">
        <v>1.13929014616</v>
      </c>
      <c r="H32" s="24">
        <v>77.3011981784</v>
      </c>
      <c r="J32" s="23">
        <v>1.32767637404</v>
      </c>
      <c r="K32" s="24">
        <v>31.0286526434</v>
      </c>
    </row>
    <row r="33" spans="1:11" ht="12.75">
      <c r="A33" s="23">
        <v>0.73491936291</v>
      </c>
      <c r="B33" s="24">
        <v>40.3979489241</v>
      </c>
      <c r="D33" s="23">
        <v>1.9014408022</v>
      </c>
      <c r="E33" s="24">
        <v>81.7693563518</v>
      </c>
      <c r="G33" s="23">
        <v>1.13928821822</v>
      </c>
      <c r="H33" s="24">
        <v>78.2689973159</v>
      </c>
      <c r="J33" s="23">
        <v>1.5165306939</v>
      </c>
      <c r="K33" s="24">
        <v>32.415262888</v>
      </c>
    </row>
    <row r="34" spans="1:11" ht="12.75">
      <c r="A34" s="23">
        <v>0.735078887507</v>
      </c>
      <c r="B34" s="24">
        <v>43.8956381922</v>
      </c>
      <c r="D34" s="23">
        <v>1.89906074521</v>
      </c>
      <c r="E34" s="24">
        <v>82.4549436079</v>
      </c>
      <c r="G34" s="23">
        <v>1.32977553989</v>
      </c>
      <c r="H34" s="24">
        <v>78.7806532759</v>
      </c>
      <c r="J34" s="23">
        <v>1.51657700721</v>
      </c>
      <c r="K34" s="24">
        <v>31.1407980332</v>
      </c>
    </row>
    <row r="35" spans="1:11" ht="12.75">
      <c r="A35" s="23">
        <v>0.73500472333</v>
      </c>
      <c r="B35" s="24">
        <v>44.3391844746</v>
      </c>
      <c r="D35" s="23">
        <v>1.89904219592</v>
      </c>
      <c r="E35" s="24">
        <v>82.5697014759</v>
      </c>
      <c r="G35" s="23">
        <v>1.3296879577</v>
      </c>
      <c r="H35" s="24">
        <v>80.3992995172</v>
      </c>
      <c r="J35" s="23">
        <v>1.51657961984</v>
      </c>
      <c r="K35" s="24">
        <v>32.3171616092</v>
      </c>
    </row>
    <row r="36" spans="1:11" ht="12.75">
      <c r="A36" s="23">
        <v>0.919065404318</v>
      </c>
      <c r="B36" s="24">
        <v>42.0521655608</v>
      </c>
      <c r="D36" s="23">
        <v>2.37427990895</v>
      </c>
      <c r="E36" s="24">
        <v>94.0094843406</v>
      </c>
      <c r="G36" s="23">
        <v>1.32969683582</v>
      </c>
      <c r="H36" s="24">
        <v>81.6485023944</v>
      </c>
      <c r="J36" s="23">
        <v>1.5170350595</v>
      </c>
      <c r="K36" s="24">
        <v>32.7531276048</v>
      </c>
    </row>
    <row r="37" spans="1:11" ht="12.75">
      <c r="A37" s="23">
        <v>0.918959418731</v>
      </c>
      <c r="B37" s="24">
        <v>43.7807373606</v>
      </c>
      <c r="D37" s="23">
        <v>2.85622342414</v>
      </c>
      <c r="E37" s="24">
        <v>102.035872667</v>
      </c>
      <c r="G37" s="23">
        <v>1.32959640285</v>
      </c>
      <c r="H37" s="24">
        <v>82.9877358637</v>
      </c>
      <c r="J37" s="23">
        <v>1.70597753162</v>
      </c>
      <c r="K37" s="24">
        <v>34.6469977151</v>
      </c>
    </row>
    <row r="38" spans="1:11" ht="12.75">
      <c r="A38" s="23">
        <v>0.91899495188</v>
      </c>
      <c r="B38" s="24">
        <v>44.0719711244</v>
      </c>
      <c r="G38" s="23">
        <v>1.52010706108</v>
      </c>
      <c r="H38" s="24">
        <v>88.0443518419</v>
      </c>
      <c r="J38" s="23">
        <v>1.70601111976</v>
      </c>
      <c r="K38" s="24">
        <v>34.8534541259</v>
      </c>
    </row>
    <row r="39" spans="1:11" ht="12.75">
      <c r="A39" s="23">
        <v>0.91899183529</v>
      </c>
      <c r="B39" s="24">
        <v>44.7173987963</v>
      </c>
      <c r="G39" s="23">
        <v>1.52009239026</v>
      </c>
      <c r="H39" s="24">
        <v>88.639871199</v>
      </c>
      <c r="J39" s="23">
        <v>1.70609408757</v>
      </c>
      <c r="K39" s="24">
        <v>35.303961163</v>
      </c>
    </row>
    <row r="40" spans="1:11" ht="12.75">
      <c r="A40" s="23">
        <v>0.948980902451</v>
      </c>
      <c r="B40" s="24">
        <v>45.0296907361</v>
      </c>
      <c r="G40" s="23">
        <v>1.52026518087</v>
      </c>
      <c r="H40" s="24">
        <v>92.6921284459</v>
      </c>
      <c r="J40" s="23">
        <v>1.70610075168</v>
      </c>
      <c r="K40" s="24">
        <v>35.4193773228</v>
      </c>
    </row>
    <row r="41" spans="1:11" ht="12.75">
      <c r="A41" s="23">
        <v>0.918964031412</v>
      </c>
      <c r="B41" s="24">
        <v>45.1768422283</v>
      </c>
      <c r="G41" s="23">
        <v>1.71035034893</v>
      </c>
      <c r="H41" s="24">
        <v>86.6636436305</v>
      </c>
      <c r="J41" s="23">
        <v>1.70626618211</v>
      </c>
      <c r="K41" s="24">
        <v>34.0305387205</v>
      </c>
    </row>
    <row r="42" spans="1:11" ht="12.75">
      <c r="A42" s="23">
        <v>0.918989809759</v>
      </c>
      <c r="B42" s="24">
        <v>45.7646049791</v>
      </c>
      <c r="G42" s="23">
        <v>1.71083422453</v>
      </c>
      <c r="H42" s="24">
        <v>87.0415388608</v>
      </c>
      <c r="J42" s="23">
        <v>1.89531586262</v>
      </c>
      <c r="K42" s="24">
        <v>37.3036571016</v>
      </c>
    </row>
    <row r="43" spans="1:11" ht="12.75">
      <c r="A43" s="23">
        <v>0.918867647127</v>
      </c>
      <c r="B43" s="24">
        <v>45.9746507819</v>
      </c>
      <c r="G43" s="23">
        <v>1.71040532364</v>
      </c>
      <c r="H43" s="24">
        <v>87.3602788698</v>
      </c>
      <c r="J43" s="23">
        <v>1.89536331091</v>
      </c>
      <c r="K43" s="24">
        <v>34.891022444</v>
      </c>
    </row>
    <row r="44" spans="1:11" ht="12.75">
      <c r="A44" s="23">
        <v>0.948999398189</v>
      </c>
      <c r="B44" s="24">
        <v>47.2564632345</v>
      </c>
      <c r="G44" s="23">
        <v>1.71097820718</v>
      </c>
      <c r="H44" s="24">
        <v>90.2925783758</v>
      </c>
      <c r="J44" s="23">
        <v>1.89536561443</v>
      </c>
      <c r="K44" s="24">
        <v>34.5131514831</v>
      </c>
    </row>
    <row r="45" spans="1:11" ht="12.75">
      <c r="A45" s="23">
        <v>0.919018197121</v>
      </c>
      <c r="B45" s="24">
        <v>47.4043312737</v>
      </c>
      <c r="G45" s="23">
        <v>1.89900047373</v>
      </c>
      <c r="H45" s="24">
        <v>80.0857922779</v>
      </c>
      <c r="J45" s="23">
        <v>1.89540951962</v>
      </c>
      <c r="K45" s="24">
        <v>35.8991481032</v>
      </c>
    </row>
    <row r="46" spans="1:11" ht="12.75">
      <c r="A46" s="23">
        <v>0.949010598341</v>
      </c>
      <c r="B46" s="24">
        <v>47.5698977644</v>
      </c>
      <c r="G46" s="23">
        <v>1.89908531435</v>
      </c>
      <c r="H46" s="24">
        <v>81.0710240024</v>
      </c>
      <c r="J46" s="23">
        <v>1.89553088085</v>
      </c>
      <c r="K46" s="24">
        <v>35.5054261245</v>
      </c>
    </row>
    <row r="47" spans="1:8" ht="12.75">
      <c r="A47" s="23">
        <v>0.948979820692</v>
      </c>
      <c r="B47" s="24">
        <v>49.3823950911</v>
      </c>
      <c r="G47" s="23">
        <v>1.89905489541</v>
      </c>
      <c r="H47" s="24">
        <v>81.3419532765</v>
      </c>
    </row>
    <row r="48" spans="1:8" ht="12.75">
      <c r="A48" s="23">
        <v>1.10271616881</v>
      </c>
      <c r="B48" s="24">
        <v>44.8295347365</v>
      </c>
      <c r="G48" s="23">
        <v>1.89875289398</v>
      </c>
      <c r="H48" s="24">
        <v>83.5535175532</v>
      </c>
    </row>
    <row r="49" spans="1:8" ht="12.75">
      <c r="A49" s="23">
        <v>1.10265405368</v>
      </c>
      <c r="B49" s="24">
        <v>45.9571743426</v>
      </c>
      <c r="G49" s="23">
        <v>1.89901502492</v>
      </c>
      <c r="H49" s="24">
        <v>83.9868718553</v>
      </c>
    </row>
    <row r="50" spans="1:8" ht="12.75">
      <c r="A50" s="23">
        <v>1.10266123403</v>
      </c>
      <c r="B50" s="24">
        <v>48.5118919668</v>
      </c>
      <c r="G50" s="23">
        <v>1.89902849804</v>
      </c>
      <c r="H50" s="24">
        <v>83.9880384557</v>
      </c>
    </row>
    <row r="51" spans="1:8" ht="12.75">
      <c r="A51" s="23">
        <v>1.10266835709</v>
      </c>
      <c r="B51" s="24">
        <v>49.0964371492</v>
      </c>
      <c r="G51" s="23">
        <v>1.89917265919</v>
      </c>
      <c r="H51" s="24">
        <v>84.4547960173</v>
      </c>
    </row>
    <row r="52" spans="1:8" ht="12.75">
      <c r="A52" s="23">
        <v>1.10272060168</v>
      </c>
      <c r="B52" s="24">
        <v>49.1462342509</v>
      </c>
      <c r="G52" s="23">
        <v>1.89868644606</v>
      </c>
      <c r="H52" s="24">
        <v>84.9090124194</v>
      </c>
    </row>
    <row r="53" spans="1:8" ht="12.75">
      <c r="A53" s="23">
        <v>1.10273679141</v>
      </c>
      <c r="B53" s="24">
        <v>50.7066110257</v>
      </c>
      <c r="G53" s="23">
        <v>1.89914497265</v>
      </c>
      <c r="H53" s="24">
        <v>86.7485886307</v>
      </c>
    </row>
    <row r="54" spans="1:8" ht="12.75">
      <c r="A54" s="23">
        <v>1.28625741814</v>
      </c>
      <c r="B54" s="24">
        <v>51.9143243004</v>
      </c>
      <c r="G54" s="23">
        <v>1.89906215388</v>
      </c>
      <c r="H54" s="24">
        <v>86.9139373939</v>
      </c>
    </row>
    <row r="55" spans="1:8" ht="12.75">
      <c r="A55" s="23">
        <v>1.28635995626</v>
      </c>
      <c r="B55" s="24">
        <v>54.0458558618</v>
      </c>
      <c r="G55" s="23">
        <v>1.89884335191</v>
      </c>
      <c r="H55" s="24">
        <v>86.9545182924</v>
      </c>
    </row>
    <row r="56" spans="1:8" ht="12.75">
      <c r="A56" s="23">
        <v>1.28613217496</v>
      </c>
      <c r="B56" s="24">
        <v>54.545793282</v>
      </c>
      <c r="G56" s="23">
        <v>1.89902451545</v>
      </c>
      <c r="H56" s="24">
        <v>87.1233024368</v>
      </c>
    </row>
    <row r="57" spans="1:17" ht="12" customHeight="1">
      <c r="A57" s="23">
        <v>1.28623605951</v>
      </c>
      <c r="B57" s="24">
        <v>54.6109678599</v>
      </c>
      <c r="G57" s="23">
        <v>1.8987505021</v>
      </c>
      <c r="H57" s="24">
        <v>87.2233891058</v>
      </c>
      <c r="P57" s="37"/>
      <c r="Q57" s="24"/>
    </row>
    <row r="58" spans="1:17" ht="12.75">
      <c r="A58" s="23">
        <v>1.47014629196</v>
      </c>
      <c r="B58" s="24">
        <v>53.0533391367</v>
      </c>
      <c r="G58" s="23">
        <v>1.89880665223</v>
      </c>
      <c r="H58" s="24">
        <v>87.3065800214</v>
      </c>
      <c r="J58" s="39" t="s">
        <v>181</v>
      </c>
      <c r="P58" s="37"/>
      <c r="Q58" s="24"/>
    </row>
    <row r="59" spans="1:17" ht="23.25" customHeight="1">
      <c r="A59" s="23">
        <v>1.46991976275</v>
      </c>
      <c r="B59" s="24">
        <v>55.3867531354</v>
      </c>
      <c r="G59" s="23">
        <v>1.90239990994</v>
      </c>
      <c r="H59" s="24">
        <v>87.4391452723</v>
      </c>
      <c r="J59" s="25" t="s">
        <v>182</v>
      </c>
      <c r="K59" s="24"/>
      <c r="P59" s="24"/>
      <c r="Q59" s="24"/>
    </row>
    <row r="60" spans="1:17" ht="12.75">
      <c r="A60" s="23">
        <v>1.46993398445</v>
      </c>
      <c r="B60" s="24">
        <v>56.7063379999</v>
      </c>
      <c r="G60" s="23">
        <v>1.89877623356</v>
      </c>
      <c r="H60" s="24">
        <v>87.6768938152</v>
      </c>
      <c r="J60" s="22"/>
      <c r="K60" s="24"/>
      <c r="P60" s="24"/>
      <c r="Q60" s="24"/>
    </row>
    <row r="61" spans="1:17" ht="25.5">
      <c r="A61" s="23">
        <v>1.46992762626</v>
      </c>
      <c r="B61" s="24">
        <v>57.2888995473</v>
      </c>
      <c r="G61" s="23">
        <v>1.89878691896</v>
      </c>
      <c r="H61" s="24">
        <v>91.0071721397</v>
      </c>
      <c r="J61" s="44" t="s">
        <v>103</v>
      </c>
      <c r="K61" s="41" t="s">
        <v>7</v>
      </c>
      <c r="L61" s="41" t="s">
        <v>110</v>
      </c>
      <c r="P61" s="24"/>
      <c r="Q61" s="24"/>
    </row>
    <row r="62" spans="1:17" ht="12.75">
      <c r="A62" s="23">
        <v>1.65586988153</v>
      </c>
      <c r="B62" s="24">
        <v>56.3504250062</v>
      </c>
      <c r="G62" s="23">
        <v>1.89859369847</v>
      </c>
      <c r="H62" s="24">
        <v>92.7888340254</v>
      </c>
      <c r="J62" s="37">
        <v>0.31</v>
      </c>
      <c r="K62" s="24">
        <v>0.7623392120982206</v>
      </c>
      <c r="L62" s="35">
        <v>0.08502674368715066</v>
      </c>
      <c r="P62" s="24"/>
      <c r="Q62" s="24"/>
    </row>
    <row r="63" spans="1:17" ht="12.75">
      <c r="A63" s="23">
        <v>1.65368309945</v>
      </c>
      <c r="B63" s="24">
        <v>57.799351882</v>
      </c>
      <c r="G63" s="23">
        <v>1.89829969335</v>
      </c>
      <c r="H63" s="24">
        <v>92.8160898907</v>
      </c>
      <c r="J63" s="37">
        <v>0.67</v>
      </c>
      <c r="K63" s="24">
        <v>4.101984188667589</v>
      </c>
      <c r="L63" s="35">
        <v>0.08390816374469848</v>
      </c>
      <c r="P63" s="24"/>
      <c r="Q63" s="24"/>
    </row>
    <row r="64" spans="1:17" ht="12.75">
      <c r="A64" s="23">
        <v>1.65364509251</v>
      </c>
      <c r="B64" s="24">
        <v>59.0010505658</v>
      </c>
      <c r="G64" s="23">
        <v>1.90252775516</v>
      </c>
      <c r="H64" s="24">
        <v>93.0686986161</v>
      </c>
      <c r="J64" s="24">
        <v>1</v>
      </c>
      <c r="K64" s="24">
        <v>2.6078500633863637</v>
      </c>
      <c r="L64" s="35">
        <v>0.20425314729464508</v>
      </c>
      <c r="P64" s="24"/>
      <c r="Q64" s="24"/>
    </row>
    <row r="65" spans="1:12" ht="12.75">
      <c r="A65" s="23">
        <v>1.65361690064</v>
      </c>
      <c r="B65" s="24">
        <v>61.3258467277</v>
      </c>
      <c r="G65" s="23">
        <v>1.89863765485</v>
      </c>
      <c r="H65" s="24">
        <v>93.409515024</v>
      </c>
      <c r="J65" s="24">
        <v>1.9</v>
      </c>
      <c r="K65" s="24">
        <v>9.722565403508517</v>
      </c>
      <c r="L65" s="35">
        <v>0.3107512049396219</v>
      </c>
    </row>
    <row r="66" spans="1:12" ht="12.75">
      <c r="A66" s="23">
        <v>1.653630502</v>
      </c>
      <c r="B66" s="24">
        <v>61.6367096745</v>
      </c>
      <c r="G66" s="23">
        <v>1.90194961571</v>
      </c>
      <c r="H66" s="24">
        <v>96.0436942604</v>
      </c>
      <c r="J66" s="24">
        <v>2</v>
      </c>
      <c r="K66" s="24">
        <v>8.466447297653893</v>
      </c>
      <c r="L66" s="35">
        <v>0.40675461424420517</v>
      </c>
    </row>
    <row r="67" spans="1:12" ht="12.75">
      <c r="A67" s="23">
        <v>1.84015710871</v>
      </c>
      <c r="B67" s="24">
        <v>48.5182561299</v>
      </c>
      <c r="G67" s="23">
        <v>1.9008401229</v>
      </c>
      <c r="H67" s="24">
        <v>96.2814735439</v>
      </c>
      <c r="J67" s="24">
        <v>3.08</v>
      </c>
      <c r="K67" s="24">
        <v>16.104430827492042</v>
      </c>
      <c r="L67" s="35">
        <v>0.8676232220536881</v>
      </c>
    </row>
    <row r="68" spans="1:12" ht="12.75">
      <c r="A68" s="23">
        <v>1.84097910674</v>
      </c>
      <c r="B68" s="24">
        <v>51.8977114955</v>
      </c>
      <c r="G68" s="23">
        <v>1.8982524242</v>
      </c>
      <c r="H68" s="24">
        <v>98.2776108368</v>
      </c>
      <c r="J68" s="24">
        <v>3.6</v>
      </c>
      <c r="K68" s="24">
        <v>23.968797053881936</v>
      </c>
      <c r="L68" s="35">
        <v>0.841538467283269</v>
      </c>
    </row>
    <row r="69" spans="1:12" ht="12.75">
      <c r="A69" s="23">
        <v>1.84099357717</v>
      </c>
      <c r="B69" s="24">
        <v>51.921653959</v>
      </c>
      <c r="G69" s="23">
        <v>1.90265060637</v>
      </c>
      <c r="H69" s="24">
        <v>98.922227363</v>
      </c>
      <c r="J69" s="24">
        <v>4</v>
      </c>
      <c r="K69" s="24">
        <v>26.32301210900154</v>
      </c>
      <c r="L69" s="35">
        <v>1.0768980260454508</v>
      </c>
    </row>
    <row r="70" spans="1:8" ht="12.75">
      <c r="A70" s="23">
        <v>1.84100790732</v>
      </c>
      <c r="B70" s="24">
        <v>53.3482069687</v>
      </c>
      <c r="G70" s="23">
        <v>1.90129885434</v>
      </c>
      <c r="H70" s="24">
        <v>99.1903897019</v>
      </c>
    </row>
    <row r="71" spans="1:8" ht="12.75">
      <c r="A71" s="23">
        <v>1.84095619423</v>
      </c>
      <c r="B71" s="24">
        <v>54.361442671</v>
      </c>
      <c r="G71" s="23">
        <v>1.9009253813</v>
      </c>
      <c r="H71" s="24">
        <v>99.3089840679</v>
      </c>
    </row>
    <row r="72" spans="1:10" ht="12.75">
      <c r="A72" s="23">
        <v>1.84014877184</v>
      </c>
      <c r="B72" s="24">
        <v>55.6702549076</v>
      </c>
      <c r="G72" s="23">
        <v>1.89855869284</v>
      </c>
      <c r="H72" s="24">
        <v>100.041685761</v>
      </c>
      <c r="J72" s="39" t="s">
        <v>183</v>
      </c>
    </row>
    <row r="73" spans="1:10" ht="12.75">
      <c r="A73" s="23">
        <v>1.83739841083</v>
      </c>
      <c r="B73" s="24">
        <v>59.3269374182</v>
      </c>
      <c r="G73" s="23">
        <v>1.89826163254</v>
      </c>
      <c r="H73" s="24">
        <v>100.626373646</v>
      </c>
      <c r="J73" s="25" t="s">
        <v>182</v>
      </c>
    </row>
    <row r="74" spans="1:8" ht="12.75">
      <c r="A74" s="23">
        <v>1.8378322056</v>
      </c>
      <c r="B74" s="24">
        <v>60.0590244196</v>
      </c>
      <c r="G74" s="23">
        <v>1.90224151686</v>
      </c>
      <c r="H74" s="24">
        <v>100.845975764</v>
      </c>
    </row>
    <row r="75" spans="1:12" ht="12.75">
      <c r="A75" s="23">
        <v>1.83795029272</v>
      </c>
      <c r="B75" s="24">
        <v>61.4221450057</v>
      </c>
      <c r="G75" s="23">
        <v>1.90080902329</v>
      </c>
      <c r="H75" s="24">
        <v>101.805649842</v>
      </c>
      <c r="J75" s="137" t="s">
        <v>147</v>
      </c>
      <c r="K75" s="28" t="s">
        <v>3</v>
      </c>
      <c r="L75" t="s">
        <v>180</v>
      </c>
    </row>
    <row r="76" spans="1:12" ht="12.75">
      <c r="A76" s="23">
        <v>1.83733616699</v>
      </c>
      <c r="B76" s="24">
        <v>61.7151419837</v>
      </c>
      <c r="G76" s="23">
        <v>2.84109212549</v>
      </c>
      <c r="H76" s="24">
        <v>113.9465255</v>
      </c>
      <c r="J76" s="25">
        <v>0.31</v>
      </c>
      <c r="K76" s="38">
        <v>4.41993171911628</v>
      </c>
      <c r="L76" s="24">
        <v>0.2</v>
      </c>
    </row>
    <row r="77" spans="1:12" ht="12.75">
      <c r="A77" s="23">
        <v>1.83790355918</v>
      </c>
      <c r="B77" s="24">
        <v>61.8838770478</v>
      </c>
      <c r="G77" s="23">
        <v>2.84111497287</v>
      </c>
      <c r="H77" s="24">
        <v>120.197030361</v>
      </c>
      <c r="J77" s="25">
        <v>0.67</v>
      </c>
      <c r="K77" s="38">
        <v>5.603777233357124</v>
      </c>
      <c r="L77" s="24">
        <v>0.1938204140279094</v>
      </c>
    </row>
    <row r="78" spans="1:12" ht="12.75">
      <c r="A78" s="23">
        <v>1.83750829725</v>
      </c>
      <c r="B78" s="24">
        <v>62.9664114678</v>
      </c>
      <c r="G78" s="23">
        <v>2.84125564839</v>
      </c>
      <c r="H78" s="24">
        <v>121.983420786</v>
      </c>
      <c r="J78" s="23">
        <v>1</v>
      </c>
      <c r="K78" s="38">
        <v>16.37115936959671</v>
      </c>
      <c r="L78" s="24">
        <v>0.5781798931421446</v>
      </c>
    </row>
    <row r="79" spans="1:12" ht="12.75">
      <c r="A79" s="23">
        <v>1.83751338811</v>
      </c>
      <c r="B79" s="24">
        <v>63.4190964865</v>
      </c>
      <c r="G79" s="23">
        <v>2.84107286514</v>
      </c>
      <c r="H79" s="24">
        <v>132.370940551</v>
      </c>
      <c r="J79" s="23">
        <v>1.9</v>
      </c>
      <c r="K79" s="38">
        <v>17.562982344530965</v>
      </c>
      <c r="L79" s="24">
        <v>0.38903303178324156</v>
      </c>
    </row>
    <row r="80" spans="1:12" ht="12.75">
      <c r="A80" s="23">
        <v>1.8993135535</v>
      </c>
      <c r="B80" s="24">
        <v>59.0139329107</v>
      </c>
      <c r="G80" s="23">
        <v>3.79238061898</v>
      </c>
      <c r="H80" s="24">
        <v>140.246231092</v>
      </c>
      <c r="J80" s="23">
        <v>2</v>
      </c>
      <c r="K80" s="38">
        <v>20.574541093672742</v>
      </c>
      <c r="L80" s="24">
        <v>1.2108321161966666</v>
      </c>
    </row>
    <row r="81" spans="1:12" ht="12.75">
      <c r="A81" s="23">
        <v>1.89932782828</v>
      </c>
      <c r="B81" s="24">
        <v>59.7218644747</v>
      </c>
      <c r="G81" s="23">
        <v>3.79355516679</v>
      </c>
      <c r="H81" s="24">
        <v>140.422295089</v>
      </c>
      <c r="J81" s="23">
        <v>3.08</v>
      </c>
      <c r="K81" s="38">
        <v>30.543406918793924</v>
      </c>
      <c r="L81" s="24">
        <v>1.267284473966957</v>
      </c>
    </row>
    <row r="82" spans="1:12" ht="12.75">
      <c r="A82" s="23">
        <v>1.89743413728</v>
      </c>
      <c r="B82" s="24">
        <v>64.9155285491</v>
      </c>
      <c r="G82" s="23">
        <v>3.79312931045</v>
      </c>
      <c r="H82" s="24">
        <v>141.728737717</v>
      </c>
      <c r="J82" s="23">
        <v>3.6</v>
      </c>
      <c r="K82" s="38">
        <v>35.85611475047456</v>
      </c>
      <c r="L82" s="24">
        <v>1.5700313258759975</v>
      </c>
    </row>
    <row r="83" spans="1:12" ht="12.75">
      <c r="A83" s="23">
        <v>1.8992727357</v>
      </c>
      <c r="B83" s="24">
        <v>65.6211540119</v>
      </c>
      <c r="G83" s="23">
        <v>3.79358850111</v>
      </c>
      <c r="H83" s="24">
        <v>144.826044207</v>
      </c>
      <c r="J83" s="23">
        <v>4</v>
      </c>
      <c r="K83" s="38">
        <v>43.22527295432219</v>
      </c>
      <c r="L83" s="24">
        <v>2.2631123166144804</v>
      </c>
    </row>
    <row r="84" spans="1:8" ht="12.75">
      <c r="A84" s="23">
        <v>2.85711695349</v>
      </c>
      <c r="B84" s="24">
        <v>66.5385964943</v>
      </c>
      <c r="G84" s="23">
        <v>3.79227789469</v>
      </c>
      <c r="H84" s="24">
        <v>146.053524217</v>
      </c>
    </row>
    <row r="85" spans="1:8" ht="12.75">
      <c r="A85" s="23">
        <v>2.85309181675</v>
      </c>
      <c r="B85" s="24">
        <v>70.0307690002</v>
      </c>
      <c r="G85" s="23">
        <v>3.79241261912</v>
      </c>
      <c r="H85" s="24">
        <v>153.238900143</v>
      </c>
    </row>
    <row r="86" spans="1:2" ht="12.75">
      <c r="A86" s="23">
        <v>2.85713727708</v>
      </c>
      <c r="B86" s="24">
        <v>79.0210572333</v>
      </c>
    </row>
    <row r="87" spans="1:2" ht="12.75">
      <c r="A87" s="23">
        <v>3.84132990116</v>
      </c>
      <c r="B87" s="24">
        <v>95.7658837042</v>
      </c>
    </row>
  </sheetData>
  <printOptions/>
  <pageMargins left="0.75" right="0.75" top="0.55" bottom="0.5" header="0.5" footer="0.5"/>
  <pageSetup horizontalDpi="600" verticalDpi="600" orientation="portrait" paperSize="9" r:id="rId2"/>
  <headerFooter alignWithMargins="0">
    <oddFooter>&amp;L&amp;8MNW file &amp;F, sheet&amp;A&amp;C&amp;8&amp;P&amp;R&amp;8printed at &amp;T on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CF374"/>
  <sheetViews>
    <sheetView workbookViewId="0" topLeftCell="Q96">
      <selection activeCell="N113" sqref="N113"/>
    </sheetView>
  </sheetViews>
  <sheetFormatPr defaultColWidth="9.140625" defaultRowHeight="12.75"/>
  <cols>
    <col min="1" max="1" width="5.7109375" style="2" customWidth="1"/>
    <col min="2" max="2" width="7.421875" style="2" customWidth="1"/>
    <col min="3" max="3" width="6.8515625" style="11" customWidth="1"/>
    <col min="4" max="4" width="6.7109375" style="5" customWidth="1"/>
    <col min="5" max="5" width="9.28125" style="3" customWidth="1"/>
    <col min="6" max="6" width="6.57421875" style="5" customWidth="1"/>
    <col min="7" max="7" width="8.140625" style="2" customWidth="1"/>
    <col min="8" max="8" width="7.00390625" style="2" customWidth="1"/>
    <col min="9" max="9" width="6.8515625" style="2" customWidth="1"/>
    <col min="10" max="10" width="8.28125" style="2" customWidth="1"/>
    <col min="11" max="11" width="6.7109375" style="11" customWidth="1"/>
    <col min="12" max="12" width="8.57421875" style="2" customWidth="1"/>
    <col min="13" max="13" width="7.28125" style="2" customWidth="1"/>
    <col min="14" max="14" width="7.8515625" style="2" customWidth="1"/>
    <col min="15" max="15" width="8.00390625" style="2" customWidth="1"/>
    <col min="16" max="16" width="6.8515625" style="4" customWidth="1"/>
    <col min="17" max="17" width="7.7109375" style="18" customWidth="1"/>
    <col min="18" max="18" width="7.57421875" style="30" customWidth="1"/>
    <col min="19" max="19" width="2.140625" style="30" customWidth="1"/>
    <col min="20" max="20" width="7.28125" style="30" customWidth="1"/>
    <col min="21" max="21" width="7.421875" style="30" customWidth="1"/>
    <col min="22" max="22" width="8.28125" style="30" customWidth="1"/>
    <col min="23" max="23" width="7.7109375" style="30" customWidth="1"/>
    <col min="24" max="27" width="8.00390625" style="30" bestFit="1" customWidth="1"/>
    <col min="28" max="28" width="7.7109375" style="30" customWidth="1"/>
    <col min="29" max="29" width="7.140625" style="0" customWidth="1"/>
    <col min="30" max="33" width="5.8515625" style="0" customWidth="1"/>
    <col min="34" max="75" width="8.7109375" style="0" customWidth="1"/>
    <col min="76" max="16384" width="8.7109375" style="2" customWidth="1"/>
  </cols>
  <sheetData>
    <row r="1" spans="1:16" ht="16.5">
      <c r="A1" s="5" t="s">
        <v>205</v>
      </c>
      <c r="C1" s="14"/>
      <c r="D1" s="1"/>
      <c r="E1" s="1"/>
      <c r="F1" s="1"/>
      <c r="G1" s="17"/>
      <c r="H1" s="5"/>
      <c r="I1" s="19"/>
      <c r="J1" s="163" t="s">
        <v>199</v>
      </c>
      <c r="K1" s="14">
        <f>E29</f>
        <v>0.500020213797163</v>
      </c>
      <c r="L1" s="1" t="s">
        <v>200</v>
      </c>
      <c r="M1" s="164" t="s">
        <v>201</v>
      </c>
      <c r="N1" s="14">
        <f>E35</f>
        <v>4</v>
      </c>
      <c r="O1" s="1" t="s">
        <v>52</v>
      </c>
      <c r="P1" s="2"/>
    </row>
    <row r="2" spans="1:16" ht="21.75" customHeight="1">
      <c r="A2" s="5" t="s">
        <v>195</v>
      </c>
      <c r="C2" s="14"/>
      <c r="D2" s="1"/>
      <c r="E2" s="1"/>
      <c r="F2" s="1"/>
      <c r="G2" s="17"/>
      <c r="H2" s="5"/>
      <c r="I2" s="19"/>
      <c r="K2" s="123"/>
      <c r="L2" s="5"/>
      <c r="M2" s="5"/>
      <c r="P2" s="2"/>
    </row>
    <row r="3" spans="1:10" ht="16.5">
      <c r="A3" s="5" t="s">
        <v>198</v>
      </c>
      <c r="I3" s="10"/>
      <c r="J3" s="10" t="s">
        <v>111</v>
      </c>
    </row>
    <row r="4" spans="1:9" ht="15" customHeight="1">
      <c r="A4" s="5" t="s">
        <v>196</v>
      </c>
      <c r="H4" s="5"/>
      <c r="I4" s="10"/>
    </row>
    <row r="5" spans="1:10" ht="24" customHeight="1">
      <c r="A5" s="181" t="s">
        <v>0</v>
      </c>
      <c r="B5" s="182"/>
      <c r="C5" s="182"/>
      <c r="D5" s="5" t="s">
        <v>140</v>
      </c>
      <c r="E5" s="3">
        <f>0.00973/2</f>
        <v>0.004865</v>
      </c>
      <c r="F5" s="5" t="s">
        <v>7</v>
      </c>
      <c r="J5" s="10" t="s">
        <v>112</v>
      </c>
    </row>
    <row r="6" spans="1:12" ht="16.5">
      <c r="A6" s="181" t="s">
        <v>1</v>
      </c>
      <c r="B6" s="182"/>
      <c r="C6" s="182"/>
      <c r="D6" s="5" t="s">
        <v>3</v>
      </c>
      <c r="E6" s="3">
        <f>0.001166/2</f>
        <v>0.000583</v>
      </c>
      <c r="F6" s="5" t="s">
        <v>7</v>
      </c>
      <c r="H6" s="5"/>
      <c r="I6" s="10"/>
      <c r="L6" s="2" t="s">
        <v>16</v>
      </c>
    </row>
    <row r="7" spans="1:6" ht="16.5">
      <c r="A7" s="181" t="s">
        <v>2</v>
      </c>
      <c r="B7" s="182"/>
      <c r="C7" s="182"/>
      <c r="D7" s="5" t="s">
        <v>4</v>
      </c>
      <c r="E7" s="3">
        <v>0.074</v>
      </c>
      <c r="F7" s="5" t="s">
        <v>7</v>
      </c>
    </row>
    <row r="8" spans="1:10" ht="16.5" customHeight="1">
      <c r="A8" s="181" t="s">
        <v>5</v>
      </c>
      <c r="B8" s="182"/>
      <c r="C8" s="182"/>
      <c r="D8" s="5" t="s">
        <v>6</v>
      </c>
      <c r="E8" s="3">
        <v>0.0625</v>
      </c>
      <c r="F8" s="2" t="s">
        <v>8</v>
      </c>
      <c r="H8" s="48"/>
      <c r="I8" s="36"/>
      <c r="J8" s="10" t="s">
        <v>113</v>
      </c>
    </row>
    <row r="9" spans="1:9" ht="16.5">
      <c r="A9" s="181" t="s">
        <v>11</v>
      </c>
      <c r="B9" s="182"/>
      <c r="C9" s="182"/>
      <c r="D9" s="5" t="s">
        <v>12</v>
      </c>
      <c r="E9" s="3">
        <v>6.4E-05</v>
      </c>
      <c r="F9" s="2" t="s">
        <v>8</v>
      </c>
      <c r="H9" s="49"/>
      <c r="I9" s="36"/>
    </row>
    <row r="10" spans="1:8" ht="16.5">
      <c r="A10" s="181" t="s">
        <v>9</v>
      </c>
      <c r="B10" s="182"/>
      <c r="C10" s="182"/>
      <c r="D10" s="5" t="s">
        <v>10</v>
      </c>
      <c r="E10" s="18">
        <v>30</v>
      </c>
      <c r="H10" s="5" t="s">
        <v>114</v>
      </c>
    </row>
    <row r="11" spans="1:8" ht="18">
      <c r="A11" s="5" t="s">
        <v>191</v>
      </c>
      <c r="B11" s="6"/>
      <c r="C11" s="6"/>
      <c r="D11" s="5" t="s">
        <v>192</v>
      </c>
      <c r="E11" s="139">
        <v>0.324</v>
      </c>
      <c r="F11" s="5" t="s">
        <v>197</v>
      </c>
      <c r="H11" s="5"/>
    </row>
    <row r="12" spans="1:12" ht="18">
      <c r="A12" s="5" t="s">
        <v>193</v>
      </c>
      <c r="B12" s="6"/>
      <c r="C12" s="6"/>
      <c r="D12" s="5" t="s">
        <v>194</v>
      </c>
      <c r="E12" s="139">
        <v>0.2455</v>
      </c>
      <c r="H12" s="5" t="s">
        <v>135</v>
      </c>
      <c r="L12" s="8"/>
    </row>
    <row r="13" spans="1:8" ht="18">
      <c r="A13" s="181" t="s">
        <v>203</v>
      </c>
      <c r="B13" s="182"/>
      <c r="C13" s="182"/>
      <c r="D13" s="7" t="s">
        <v>204</v>
      </c>
      <c r="E13" s="3">
        <f>4*PI()*10^-7</f>
        <v>1.2566370614359173E-06</v>
      </c>
      <c r="F13" s="5" t="s">
        <v>14</v>
      </c>
      <c r="H13" s="22"/>
    </row>
    <row r="14" spans="1:8" ht="16.5">
      <c r="A14" s="181" t="s">
        <v>17</v>
      </c>
      <c r="B14" s="182"/>
      <c r="C14" s="182"/>
      <c r="D14" s="7" t="s">
        <v>58</v>
      </c>
      <c r="E14" s="4">
        <v>0.826</v>
      </c>
      <c r="H14" s="22"/>
    </row>
    <row r="15" spans="1:8" ht="16.5">
      <c r="A15" s="181" t="s">
        <v>18</v>
      </c>
      <c r="B15" s="182"/>
      <c r="C15" s="182"/>
      <c r="D15" s="7" t="s">
        <v>19</v>
      </c>
      <c r="E15" s="4">
        <v>0.872</v>
      </c>
      <c r="H15" s="5" t="s">
        <v>115</v>
      </c>
    </row>
    <row r="16" spans="1:5" ht="16.5">
      <c r="A16" s="5" t="s">
        <v>69</v>
      </c>
      <c r="B16" s="6"/>
      <c r="C16" s="6"/>
      <c r="D16" s="5" t="s">
        <v>70</v>
      </c>
      <c r="E16" s="4">
        <v>2.24</v>
      </c>
    </row>
    <row r="17" spans="1:8" ht="16.5">
      <c r="A17" s="181" t="s">
        <v>20</v>
      </c>
      <c r="B17" s="182"/>
      <c r="C17" s="182"/>
      <c r="D17" s="7" t="s">
        <v>59</v>
      </c>
      <c r="E17" s="4">
        <f>1/(1+E16)</f>
        <v>0.30864197530864196</v>
      </c>
      <c r="H17" s="5" t="s">
        <v>136</v>
      </c>
    </row>
    <row r="18" spans="1:75" ht="18.75">
      <c r="A18" s="5" t="s">
        <v>122</v>
      </c>
      <c r="B18" s="36"/>
      <c r="C18" s="36"/>
      <c r="D18" s="25" t="s">
        <v>124</v>
      </c>
      <c r="E18" s="3">
        <v>1.24E-10</v>
      </c>
      <c r="F18" s="5" t="s">
        <v>13</v>
      </c>
      <c r="L18" s="47"/>
      <c r="N18" s="4"/>
      <c r="P18" s="30"/>
      <c r="Q18" s="40"/>
      <c r="AA18"/>
      <c r="AB18"/>
      <c r="BV18" s="2"/>
      <c r="BW18" s="2"/>
    </row>
    <row r="19" spans="1:75" ht="18.75">
      <c r="A19" s="5" t="s">
        <v>123</v>
      </c>
      <c r="B19" s="36"/>
      <c r="C19" s="36"/>
      <c r="D19" s="25" t="s">
        <v>125</v>
      </c>
      <c r="E19" s="3">
        <v>9E-11</v>
      </c>
      <c r="F19" s="5" t="s">
        <v>121</v>
      </c>
      <c r="H19" s="183" t="s">
        <v>92</v>
      </c>
      <c r="I19" s="184"/>
      <c r="J19" s="185"/>
      <c r="L19" s="47"/>
      <c r="N19" s="4"/>
      <c r="P19" s="30"/>
      <c r="Q19" s="40"/>
      <c r="AA19"/>
      <c r="AB19"/>
      <c r="BV19" s="2"/>
      <c r="BW19" s="2"/>
    </row>
    <row r="20" spans="1:76" ht="18.75">
      <c r="A20" s="181" t="s">
        <v>45</v>
      </c>
      <c r="B20" s="182"/>
      <c r="C20" s="182"/>
      <c r="D20" s="9" t="s">
        <v>126</v>
      </c>
      <c r="E20" s="3">
        <v>0.004</v>
      </c>
      <c r="F20" s="2" t="s">
        <v>7</v>
      </c>
      <c r="H20" s="184"/>
      <c r="I20" s="184"/>
      <c r="J20" s="185"/>
      <c r="K20" s="32"/>
      <c r="L20" s="11"/>
      <c r="M20" s="5"/>
      <c r="O20" s="103" t="s">
        <v>160</v>
      </c>
      <c r="P20" s="103" t="s">
        <v>161</v>
      </c>
      <c r="Q20" s="104" t="s">
        <v>163</v>
      </c>
      <c r="R20" s="117" t="s">
        <v>169</v>
      </c>
      <c r="AC20" s="30"/>
      <c r="BX20"/>
    </row>
    <row r="21" spans="1:76" ht="18.75">
      <c r="A21" s="181" t="s">
        <v>34</v>
      </c>
      <c r="B21" s="182"/>
      <c r="C21" s="182"/>
      <c r="D21" s="9" t="s">
        <v>127</v>
      </c>
      <c r="E21" s="3">
        <v>6.02E-06</v>
      </c>
      <c r="F21" s="5" t="s">
        <v>7</v>
      </c>
      <c r="K21" s="2"/>
      <c r="L21" s="123"/>
      <c r="O21" s="105" t="s">
        <v>159</v>
      </c>
      <c r="P21" s="105" t="s">
        <v>159</v>
      </c>
      <c r="Q21" s="106" t="s">
        <v>164</v>
      </c>
      <c r="R21" s="118" t="s">
        <v>170</v>
      </c>
      <c r="AC21" s="30"/>
      <c r="BX21"/>
    </row>
    <row r="22" spans="1:78" ht="18.75">
      <c r="A22" s="181" t="s">
        <v>137</v>
      </c>
      <c r="B22" s="182"/>
      <c r="C22" s="182"/>
      <c r="D22" s="9" t="s">
        <v>60</v>
      </c>
      <c r="E22" s="3">
        <v>35000000000</v>
      </c>
      <c r="F22" s="5" t="s">
        <v>40</v>
      </c>
      <c r="G22" s="3"/>
      <c r="H22" s="5" t="s">
        <v>43</v>
      </c>
      <c r="K22" s="2"/>
      <c r="L22" s="11"/>
      <c r="O22" s="113" t="s">
        <v>162</v>
      </c>
      <c r="P22" s="113" t="s">
        <v>162</v>
      </c>
      <c r="Q22" s="114" t="s">
        <v>85</v>
      </c>
      <c r="R22" s="119" t="s">
        <v>171</v>
      </c>
      <c r="S22" s="2"/>
      <c r="T22" s="2"/>
      <c r="AC22" s="30"/>
      <c r="AD22" s="30"/>
      <c r="AE22" s="30"/>
      <c r="BX22"/>
      <c r="BY22"/>
      <c r="BZ22"/>
    </row>
    <row r="23" spans="1:78" ht="18.75">
      <c r="A23" s="181" t="s">
        <v>137</v>
      </c>
      <c r="B23" s="182"/>
      <c r="C23" s="182"/>
      <c r="D23" s="9" t="s">
        <v>61</v>
      </c>
      <c r="E23" s="4">
        <v>0.148519435587142</v>
      </c>
      <c r="F23" s="5" t="s">
        <v>21</v>
      </c>
      <c r="H23" s="2" t="s">
        <v>44</v>
      </c>
      <c r="I23" s="2" t="s">
        <v>62</v>
      </c>
      <c r="J23" s="2" t="s">
        <v>63</v>
      </c>
      <c r="K23" s="2"/>
      <c r="L23" s="11"/>
      <c r="M23" s="108"/>
      <c r="N23" s="109" t="s">
        <v>202</v>
      </c>
      <c r="O23" s="132">
        <f>K109*4*J28</f>
        <v>0.2061410034764147</v>
      </c>
      <c r="P23" s="105"/>
      <c r="Q23" s="106">
        <f aca="true" t="shared" si="0" ref="Q23:Q30">O23*2*E$34</f>
        <v>0.0515373343153193</v>
      </c>
      <c r="R23" s="115">
        <f aca="true" t="shared" si="1" ref="R23:R28">Q23/Q$30</f>
        <v>0.0031649995661115235</v>
      </c>
      <c r="S23" s="2"/>
      <c r="T23" s="2"/>
      <c r="AC23" s="30"/>
      <c r="AD23" s="30"/>
      <c r="AE23" s="30"/>
      <c r="BX23"/>
      <c r="BY23"/>
      <c r="BZ23"/>
    </row>
    <row r="24" spans="1:77" ht="18.75">
      <c r="A24" s="181" t="s">
        <v>137</v>
      </c>
      <c r="B24" s="182"/>
      <c r="C24" s="182"/>
      <c r="D24" s="9" t="s">
        <v>64</v>
      </c>
      <c r="E24" s="3">
        <v>5000000000</v>
      </c>
      <c r="F24" s="5" t="s">
        <v>40</v>
      </c>
      <c r="H24" s="2">
        <v>1</v>
      </c>
      <c r="I24" s="15">
        <v>0</v>
      </c>
      <c r="J24" s="15">
        <v>15.673373548625944</v>
      </c>
      <c r="K24" s="15"/>
      <c r="L24" s="11"/>
      <c r="M24" s="78"/>
      <c r="N24" s="110" t="s">
        <v>168</v>
      </c>
      <c r="O24" s="132">
        <f>L109*4*J28</f>
        <v>10.690973985439912</v>
      </c>
      <c r="P24" s="105"/>
      <c r="Q24" s="106">
        <f t="shared" si="0"/>
        <v>2.672851548949786</v>
      </c>
      <c r="R24" s="115">
        <f t="shared" si="1"/>
        <v>0.1641445780053084</v>
      </c>
      <c r="S24" s="2"/>
      <c r="T24" s="2"/>
      <c r="AC24" s="30"/>
      <c r="AD24" s="30"/>
      <c r="AE24" s="30"/>
      <c r="BX24"/>
      <c r="BY24"/>
    </row>
    <row r="25" spans="1:77" ht="18.75">
      <c r="A25" s="181" t="s">
        <v>137</v>
      </c>
      <c r="B25" s="182"/>
      <c r="C25" s="182"/>
      <c r="D25" s="9" t="s">
        <v>65</v>
      </c>
      <c r="E25" s="3">
        <v>-700000000</v>
      </c>
      <c r="F25" s="5" t="s">
        <v>47</v>
      </c>
      <c r="H25" s="2">
        <v>2</v>
      </c>
      <c r="I25" s="15">
        <v>17.081863443783423</v>
      </c>
      <c r="J25" s="15">
        <v>36.23820889210402</v>
      </c>
      <c r="K25" s="15"/>
      <c r="L25" s="11"/>
      <c r="M25" s="78"/>
      <c r="N25" s="111" t="s">
        <v>165</v>
      </c>
      <c r="O25" s="132">
        <f>M109*4*J28</f>
        <v>0.1558415301125444</v>
      </c>
      <c r="P25" s="107"/>
      <c r="Q25" s="106">
        <f t="shared" si="0"/>
        <v>0.038961957602675734</v>
      </c>
      <c r="R25" s="115">
        <f t="shared" si="1"/>
        <v>0.002392723266454808</v>
      </c>
      <c r="S25" s="2"/>
      <c r="T25"/>
      <c r="AC25" s="30"/>
      <c r="AD25" s="30"/>
      <c r="AE25" s="30"/>
      <c r="BX25"/>
      <c r="BY25"/>
    </row>
    <row r="26" spans="1:77" ht="18.75">
      <c r="A26" s="181" t="s">
        <v>39</v>
      </c>
      <c r="B26" s="182"/>
      <c r="C26" s="182"/>
      <c r="D26" s="9" t="s">
        <v>138</v>
      </c>
      <c r="E26" s="3">
        <v>32000000000</v>
      </c>
      <c r="F26" s="5" t="s">
        <v>40</v>
      </c>
      <c r="H26" s="2">
        <v>3</v>
      </c>
      <c r="I26" s="15">
        <v>41.284249216564326</v>
      </c>
      <c r="J26" s="15">
        <v>55.21613681534294</v>
      </c>
      <c r="K26" s="15"/>
      <c r="L26" s="11"/>
      <c r="M26" s="112"/>
      <c r="N26" s="110" t="s">
        <v>166</v>
      </c>
      <c r="O26" s="132">
        <f>N109*4*J28</f>
        <v>17.259413055856445</v>
      </c>
      <c r="P26" s="105"/>
      <c r="Q26" s="106">
        <f t="shared" si="0"/>
        <v>4.315027703101443</v>
      </c>
      <c r="R26" s="115">
        <f t="shared" si="1"/>
        <v>0.2649935428269862</v>
      </c>
      <c r="S26" s="2"/>
      <c r="T26"/>
      <c r="AC26" s="30"/>
      <c r="AD26" s="30"/>
      <c r="AE26" s="30"/>
      <c r="BX26"/>
      <c r="BY26"/>
    </row>
    <row r="27" spans="1:77" ht="18.75">
      <c r="A27" s="181" t="s">
        <v>39</v>
      </c>
      <c r="B27" s="182"/>
      <c r="C27" s="182"/>
      <c r="D27" s="9" t="s">
        <v>139</v>
      </c>
      <c r="E27" s="2">
        <v>0.5</v>
      </c>
      <c r="F27" s="5" t="s">
        <v>21</v>
      </c>
      <c r="H27" s="2">
        <v>4</v>
      </c>
      <c r="I27" s="15">
        <v>66.20526072708387</v>
      </c>
      <c r="J27" s="15">
        <v>73.17120452647318</v>
      </c>
      <c r="K27" s="15"/>
      <c r="L27" s="11"/>
      <c r="M27" s="129"/>
      <c r="N27" s="50" t="s">
        <v>167</v>
      </c>
      <c r="O27" s="133">
        <f>O109*4*J28</f>
        <v>36.81489247160425</v>
      </c>
      <c r="P27" s="130"/>
      <c r="Q27" s="104">
        <f t="shared" si="0"/>
        <v>9.204095202285563</v>
      </c>
      <c r="R27" s="131">
        <f t="shared" si="1"/>
        <v>0.5652398927630193</v>
      </c>
      <c r="S27" s="12"/>
      <c r="T27"/>
      <c r="AC27" s="30"/>
      <c r="AD27" s="30"/>
      <c r="AE27" s="30"/>
      <c r="BX27"/>
      <c r="BY27"/>
    </row>
    <row r="28" spans="1:76" ht="16.5">
      <c r="A28" s="5" t="s">
        <v>93</v>
      </c>
      <c r="B28" s="6"/>
      <c r="C28" s="6"/>
      <c r="D28" s="5" t="s">
        <v>87</v>
      </c>
      <c r="E28" s="18">
        <v>712</v>
      </c>
      <c r="F28" s="5" t="s">
        <v>91</v>
      </c>
      <c r="I28" s="10" t="s">
        <v>50</v>
      </c>
      <c r="J28" s="15">
        <f>245*2.54*12/100/32/2</f>
        <v>1.1668124999999998</v>
      </c>
      <c r="K28" s="123" t="s">
        <v>49</v>
      </c>
      <c r="L28" s="123"/>
      <c r="M28" s="112"/>
      <c r="N28" s="110" t="s">
        <v>177</v>
      </c>
      <c r="O28" s="132">
        <f>P109*4*J28</f>
        <v>0.004185579481777677</v>
      </c>
      <c r="P28" s="125"/>
      <c r="Q28" s="106">
        <f t="shared" si="0"/>
        <v>0.0010464371736717464</v>
      </c>
      <c r="R28" s="115">
        <f t="shared" si="1"/>
        <v>6.426357211978604E-05</v>
      </c>
      <c r="S28" s="12"/>
      <c r="T28"/>
      <c r="AC28" s="30"/>
      <c r="AD28" s="30"/>
      <c r="AE28" s="30"/>
      <c r="BX28"/>
    </row>
    <row r="29" spans="1:76" ht="16.5">
      <c r="A29" s="181" t="s">
        <v>94</v>
      </c>
      <c r="B29" s="182"/>
      <c r="C29" s="182"/>
      <c r="D29" s="5" t="s">
        <v>88</v>
      </c>
      <c r="E29" s="4">
        <f>P34*E28+P35*E28^P36</f>
        <v>0.500020213797163</v>
      </c>
      <c r="F29" s="5" t="s">
        <v>21</v>
      </c>
      <c r="H29" s="5"/>
      <c r="I29" s="10" t="s">
        <v>54</v>
      </c>
      <c r="J29" s="3">
        <v>7.888866402398716E-06</v>
      </c>
      <c r="K29" s="123" t="s">
        <v>35</v>
      </c>
      <c r="L29" s="123"/>
      <c r="M29" s="126"/>
      <c r="N29" s="107" t="s">
        <v>178</v>
      </c>
      <c r="O29" s="132">
        <f>O27+O28</f>
        <v>36.81907805108603</v>
      </c>
      <c r="P29" s="107"/>
      <c r="Q29" s="114">
        <f t="shared" si="0"/>
        <v>9.205141639459233</v>
      </c>
      <c r="R29" s="115">
        <f>Q29/Q30</f>
        <v>0.5653041563351391</v>
      </c>
      <c r="S29" s="12"/>
      <c r="T29"/>
      <c r="AC29" s="30"/>
      <c r="AD29" s="30"/>
      <c r="AE29" s="30"/>
      <c r="BX29"/>
    </row>
    <row r="30" spans="1:76" ht="16.5">
      <c r="A30" s="181" t="s">
        <v>22</v>
      </c>
      <c r="B30" s="182"/>
      <c r="C30" s="182"/>
      <c r="D30" s="5" t="s">
        <v>48</v>
      </c>
      <c r="E30" s="13">
        <v>2.1215</v>
      </c>
      <c r="F30" s="5" t="s">
        <v>21</v>
      </c>
      <c r="H30" s="10"/>
      <c r="I30" s="10" t="s">
        <v>55</v>
      </c>
      <c r="K30" s="123" t="s">
        <v>15</v>
      </c>
      <c r="L30" s="123"/>
      <c r="M30" s="127"/>
      <c r="N30" s="128" t="s">
        <v>179</v>
      </c>
      <c r="O30" s="134">
        <f>SUM(O23:O26)+O29</f>
        <v>65.13144762597135</v>
      </c>
      <c r="P30" s="128"/>
      <c r="Q30" s="135">
        <f t="shared" si="0"/>
        <v>16.283520183428458</v>
      </c>
      <c r="R30" s="136">
        <f>SUM(R23:R26)+R29</f>
        <v>1</v>
      </c>
      <c r="S30" s="4"/>
      <c r="T30"/>
      <c r="AC30" s="30"/>
      <c r="AD30" s="30"/>
      <c r="AE30" s="30"/>
      <c r="BX30"/>
    </row>
    <row r="31" spans="1:76" ht="16.5">
      <c r="A31" s="5" t="s">
        <v>95</v>
      </c>
      <c r="B31" s="6"/>
      <c r="C31" s="6"/>
      <c r="D31" s="5" t="s">
        <v>89</v>
      </c>
      <c r="E31" s="18">
        <v>1</v>
      </c>
      <c r="F31" s="5" t="s">
        <v>91</v>
      </c>
      <c r="H31" s="10"/>
      <c r="I31" s="10" t="s">
        <v>67</v>
      </c>
      <c r="J31" s="15"/>
      <c r="L31" s="15"/>
      <c r="M31" s="5"/>
      <c r="O31" s="10"/>
      <c r="P31" s="16"/>
      <c r="R31" s="4"/>
      <c r="S31"/>
      <c r="AC31" s="30"/>
      <c r="AD31" s="30"/>
      <c r="BX31"/>
    </row>
    <row r="32" spans="1:76" ht="16.5">
      <c r="A32" s="181" t="s">
        <v>96</v>
      </c>
      <c r="B32" s="182"/>
      <c r="C32" s="182"/>
      <c r="D32" s="5" t="s">
        <v>84</v>
      </c>
      <c r="E32" s="15">
        <v>0</v>
      </c>
      <c r="F32" s="5" t="s">
        <v>21</v>
      </c>
      <c r="I32" s="10"/>
      <c r="J32" s="27"/>
      <c r="K32" s="38"/>
      <c r="L32" s="27"/>
      <c r="M32" s="5"/>
      <c r="O32" s="10"/>
      <c r="P32" s="16"/>
      <c r="R32" s="2"/>
      <c r="S32" s="4"/>
      <c r="AC32" s="30"/>
      <c r="AD32" s="30"/>
      <c r="BX32"/>
    </row>
    <row r="33" spans="1:83" ht="18">
      <c r="A33" s="181" t="s">
        <v>66</v>
      </c>
      <c r="B33" s="182"/>
      <c r="C33" s="182"/>
      <c r="D33" s="5" t="s">
        <v>146</v>
      </c>
      <c r="E33" s="15">
        <f>E32/E29</f>
        <v>0</v>
      </c>
      <c r="H33" s="5" t="s">
        <v>129</v>
      </c>
      <c r="I33" s="6"/>
      <c r="J33" s="20"/>
      <c r="K33" s="5" t="s">
        <v>132</v>
      </c>
      <c r="L33" s="15">
        <v>1</v>
      </c>
      <c r="M33" s="5"/>
      <c r="O33" s="10" t="s">
        <v>172</v>
      </c>
      <c r="P33" s="10"/>
      <c r="Q33" s="27"/>
      <c r="R33" s="38"/>
      <c r="S33" s="27"/>
      <c r="T33" s="5"/>
      <c r="U33" s="2"/>
      <c r="V33" s="10"/>
      <c r="W33" s="16"/>
      <c r="X33" s="18"/>
      <c r="Y33" s="3"/>
      <c r="Z33"/>
      <c r="AC33" s="30"/>
      <c r="AD33" s="30"/>
      <c r="AE33" s="30"/>
      <c r="AF33" s="30"/>
      <c r="AG33" s="30"/>
      <c r="AH33" s="30"/>
      <c r="AI33" s="30"/>
      <c r="AJ33" s="30"/>
      <c r="AK33" s="30"/>
      <c r="BX33"/>
      <c r="BY33"/>
      <c r="BZ33"/>
      <c r="CA33"/>
      <c r="CB33"/>
      <c r="CC33"/>
      <c r="CD33"/>
      <c r="CE33"/>
    </row>
    <row r="34" spans="1:84" ht="18">
      <c r="A34" s="181" t="s">
        <v>23</v>
      </c>
      <c r="B34" s="182"/>
      <c r="C34" s="182"/>
      <c r="D34" s="5" t="s">
        <v>56</v>
      </c>
      <c r="E34" s="4">
        <f>(E29-E32)/E35</f>
        <v>0.12500505344929075</v>
      </c>
      <c r="F34" s="5" t="s">
        <v>15</v>
      </c>
      <c r="H34" s="5" t="s">
        <v>128</v>
      </c>
      <c r="I34" s="6"/>
      <c r="J34" s="20"/>
      <c r="K34" s="5" t="s">
        <v>133</v>
      </c>
      <c r="L34" s="15">
        <v>2</v>
      </c>
      <c r="M34" s="5"/>
      <c r="O34" s="10" t="s">
        <v>188</v>
      </c>
      <c r="P34" s="202">
        <v>0.0009023255298815842</v>
      </c>
      <c r="Q34" s="203"/>
      <c r="R34" s="38"/>
      <c r="S34" s="27"/>
      <c r="T34" s="5"/>
      <c r="U34" s="2"/>
      <c r="V34" s="10"/>
      <c r="W34" s="29"/>
      <c r="X34" s="18"/>
      <c r="Y34" s="3"/>
      <c r="Z34"/>
      <c r="AC34" s="30"/>
      <c r="AD34" s="30"/>
      <c r="AE34" s="30"/>
      <c r="AF34" s="30"/>
      <c r="AG34" s="30"/>
      <c r="AH34" s="30"/>
      <c r="AI34" s="30"/>
      <c r="AJ34" s="30"/>
      <c r="AK34" s="30"/>
      <c r="BX34"/>
      <c r="BY34"/>
      <c r="BZ34"/>
      <c r="CA34"/>
      <c r="CB34"/>
      <c r="CC34"/>
      <c r="CD34"/>
      <c r="CE34"/>
      <c r="CF34"/>
    </row>
    <row r="35" spans="1:82" ht="18">
      <c r="A35" s="181" t="s">
        <v>51</v>
      </c>
      <c r="B35" s="182"/>
      <c r="C35" s="182"/>
      <c r="D35" s="5" t="s">
        <v>53</v>
      </c>
      <c r="E35" s="15">
        <v>4</v>
      </c>
      <c r="F35" s="5" t="s">
        <v>52</v>
      </c>
      <c r="H35" s="5" t="s">
        <v>130</v>
      </c>
      <c r="I35" s="6"/>
      <c r="J35" s="20"/>
      <c r="K35" s="5" t="s">
        <v>134</v>
      </c>
      <c r="L35" s="15">
        <v>1</v>
      </c>
      <c r="M35" s="5"/>
      <c r="O35" s="10" t="s">
        <v>189</v>
      </c>
      <c r="P35" s="186">
        <v>-5.378266220120102E-05</v>
      </c>
      <c r="Q35" s="187"/>
      <c r="R35" s="38"/>
      <c r="S35" s="5"/>
      <c r="T35" s="2"/>
      <c r="U35" s="10"/>
      <c r="V35" s="29"/>
      <c r="W35" s="16"/>
      <c r="X35" s="18"/>
      <c r="Y35"/>
      <c r="AC35" s="30"/>
      <c r="AD35" s="30"/>
      <c r="AE35" s="30"/>
      <c r="AF35" s="30"/>
      <c r="AG35" s="30"/>
      <c r="AH35" s="30"/>
      <c r="AI35" s="30"/>
      <c r="AJ35" s="30"/>
      <c r="BX35"/>
      <c r="BY35"/>
      <c r="BZ35"/>
      <c r="CA35"/>
      <c r="CB35"/>
      <c r="CC35"/>
      <c r="CD35"/>
    </row>
    <row r="36" spans="3:81" ht="16.5">
      <c r="C36" s="2"/>
      <c r="D36" s="2"/>
      <c r="E36" s="2"/>
      <c r="F36" s="2"/>
      <c r="H36" s="5" t="s">
        <v>131</v>
      </c>
      <c r="I36" s="6"/>
      <c r="J36" s="20"/>
      <c r="K36" s="5" t="s">
        <v>68</v>
      </c>
      <c r="L36" s="15">
        <v>1</v>
      </c>
      <c r="M36" s="5"/>
      <c r="O36" s="10" t="s">
        <v>90</v>
      </c>
      <c r="P36" s="27">
        <v>1.2000000525728414</v>
      </c>
      <c r="Q36" s="10"/>
      <c r="R36" s="38"/>
      <c r="S36" s="5"/>
      <c r="T36" s="2"/>
      <c r="U36" s="10"/>
      <c r="V36" s="29"/>
      <c r="W36" s="16"/>
      <c r="X36" s="18"/>
      <c r="Y36"/>
      <c r="AC36" s="30"/>
      <c r="AD36" s="30"/>
      <c r="AE36" s="30"/>
      <c r="AF36" s="30"/>
      <c r="AG36" s="30"/>
      <c r="AH36" s="30"/>
      <c r="AI36" s="30"/>
      <c r="AJ36" s="30"/>
      <c r="BX36"/>
      <c r="BY36"/>
      <c r="BZ36"/>
      <c r="CA36"/>
      <c r="CB36"/>
      <c r="CC36"/>
    </row>
    <row r="37" spans="16:77" ht="15.75" customHeight="1">
      <c r="P37" s="2"/>
      <c r="Q37" s="120" t="s">
        <v>144</v>
      </c>
      <c r="R37" s="56" t="s">
        <v>157</v>
      </c>
      <c r="S37" s="4"/>
      <c r="T37" s="194" t="s">
        <v>71</v>
      </c>
      <c r="U37" s="201"/>
      <c r="V37" s="201"/>
      <c r="W37" s="201"/>
      <c r="X37" s="201"/>
      <c r="Y37" s="201"/>
      <c r="Z37" s="201"/>
      <c r="AA37" s="201"/>
      <c r="AB37" s="201"/>
      <c r="AC37" s="190"/>
      <c r="AD37" s="30"/>
      <c r="BX37"/>
      <c r="BY37"/>
    </row>
    <row r="38" spans="1:77" ht="18">
      <c r="A38" s="191" t="s">
        <v>46</v>
      </c>
      <c r="B38" s="192"/>
      <c r="C38" s="192"/>
      <c r="D38" s="192"/>
      <c r="E38" s="193"/>
      <c r="F38" s="198" t="s">
        <v>141</v>
      </c>
      <c r="G38" s="199"/>
      <c r="H38" s="199"/>
      <c r="I38" s="199"/>
      <c r="J38" s="200"/>
      <c r="K38" s="191" t="s">
        <v>143</v>
      </c>
      <c r="L38" s="192"/>
      <c r="M38" s="192"/>
      <c r="N38" s="192"/>
      <c r="O38" s="192"/>
      <c r="P38" s="200"/>
      <c r="Q38" s="121" t="s">
        <v>176</v>
      </c>
      <c r="R38" s="57" t="s">
        <v>173</v>
      </c>
      <c r="S38" s="4"/>
      <c r="T38" s="194" t="s">
        <v>72</v>
      </c>
      <c r="U38" s="195"/>
      <c r="V38" s="195"/>
      <c r="W38" s="195"/>
      <c r="X38" s="196"/>
      <c r="Y38" s="194" t="s">
        <v>73</v>
      </c>
      <c r="Z38" s="195"/>
      <c r="AA38" s="195"/>
      <c r="AB38" s="195"/>
      <c r="AC38" s="197"/>
      <c r="AD38" s="188" t="s">
        <v>142</v>
      </c>
      <c r="AE38" s="189"/>
      <c r="AF38" s="189"/>
      <c r="AG38" s="189"/>
      <c r="AH38" s="190"/>
      <c r="BX38"/>
      <c r="BY38"/>
    </row>
    <row r="39" spans="1:76" ht="16.5">
      <c r="A39" s="51" t="s">
        <v>24</v>
      </c>
      <c r="B39" s="52" t="s">
        <v>25</v>
      </c>
      <c r="C39" s="53" t="s">
        <v>26</v>
      </c>
      <c r="D39" s="54" t="s">
        <v>27</v>
      </c>
      <c r="E39" s="55" t="s">
        <v>29</v>
      </c>
      <c r="F39" s="45" t="s">
        <v>28</v>
      </c>
      <c r="G39" s="54" t="s">
        <v>36</v>
      </c>
      <c r="H39" s="54" t="s">
        <v>37</v>
      </c>
      <c r="I39" s="46" t="s">
        <v>38</v>
      </c>
      <c r="J39" s="55" t="s">
        <v>29</v>
      </c>
      <c r="K39" s="89" t="s">
        <v>30</v>
      </c>
      <c r="L39" s="52" t="s">
        <v>31</v>
      </c>
      <c r="M39" s="52" t="s">
        <v>32</v>
      </c>
      <c r="N39" s="52" t="s">
        <v>33</v>
      </c>
      <c r="O39" s="52" t="s">
        <v>174</v>
      </c>
      <c r="P39" s="116" t="s">
        <v>175</v>
      </c>
      <c r="Q39" s="122" t="s">
        <v>41</v>
      </c>
      <c r="R39" s="58" t="s">
        <v>42</v>
      </c>
      <c r="S39"/>
      <c r="T39" s="59" t="s">
        <v>74</v>
      </c>
      <c r="U39" s="60" t="s">
        <v>75</v>
      </c>
      <c r="V39" s="60" t="s">
        <v>76</v>
      </c>
      <c r="W39" s="60" t="s">
        <v>77</v>
      </c>
      <c r="X39" s="61" t="s">
        <v>78</v>
      </c>
      <c r="Y39" s="59" t="s">
        <v>79</v>
      </c>
      <c r="Z39" s="60" t="s">
        <v>80</v>
      </c>
      <c r="AA39" s="60" t="s">
        <v>81</v>
      </c>
      <c r="AB39" s="60" t="s">
        <v>82</v>
      </c>
      <c r="AC39" s="61" t="s">
        <v>83</v>
      </c>
      <c r="AD39" s="59" t="s">
        <v>116</v>
      </c>
      <c r="AE39" s="62" t="s">
        <v>117</v>
      </c>
      <c r="AF39" s="62" t="s">
        <v>118</v>
      </c>
      <c r="AG39" s="62" t="s">
        <v>119</v>
      </c>
      <c r="AH39" s="63" t="s">
        <v>120</v>
      </c>
      <c r="BX39"/>
    </row>
    <row r="40" spans="1:76" ht="16.5">
      <c r="A40" s="18">
        <v>0</v>
      </c>
      <c r="B40" s="4">
        <v>-0.8219977069090909</v>
      </c>
      <c r="C40" s="11">
        <v>244.26680129999903</v>
      </c>
      <c r="D40" s="4">
        <v>-7.829455454545454E-06</v>
      </c>
      <c r="E40" s="4">
        <f aca="true" t="shared" si="2" ref="E40:E56">SQRT(B40^2+D40^2)</f>
        <v>0.8219977069463784</v>
      </c>
      <c r="F40" s="82">
        <f aca="true" t="shared" si="3" ref="F40:F56">-B40*$E$29*(1-$E$33)/$E$30/$E$34</f>
        <v>1.54984248297731</v>
      </c>
      <c r="G40" s="85">
        <f aca="true" t="shared" si="4" ref="G40:G56">C40*$E$29*(1-$E$33)/$E$30/$E$34</f>
        <v>460.5548928588244</v>
      </c>
      <c r="H40" s="87">
        <f aca="true" t="shared" si="5" ref="H40:H56">-D40*$E$29*(1-$E$33)/$E$30/$E$34</f>
        <v>1.4762112570436868E-05</v>
      </c>
      <c r="I40" s="87">
        <f aca="true" t="shared" si="6" ref="I40:I56">E40*$E$29*(1-$E$33)/$E$30/$E$34</f>
        <v>1.5498424830476143</v>
      </c>
      <c r="J40" s="56">
        <f aca="true" t="shared" si="7" ref="J40:J56">E40*E$29/E$30</f>
        <v>0.19373814243134851</v>
      </c>
      <c r="K40" s="11">
        <f aca="true" t="shared" si="8" ref="K40:K56">L$33*E$14/120*F40^2/E$8*E$7*E$10*(E$10-1)*E$5/E$6</f>
        <v>142.12129908890222</v>
      </c>
      <c r="L40" s="11">
        <f aca="true" t="shared" si="9" ref="L40:L56">L$34*E$14/6*F40^2/E$9*E$7*E$5/E$6*(1+(G40*E$5/F40)^2/15)</f>
        <v>7270.288089568925</v>
      </c>
      <c r="M40" s="15">
        <f aca="true" t="shared" si="10" ref="M40:M56">L$35*E$14/8*H40^2/E$9*E$7*E$6/E$5</f>
        <v>3.1176297838509306E-09</v>
      </c>
      <c r="N40" s="11">
        <f aca="true" t="shared" si="11" ref="N40:N56">E$14*E$15*(E$12/E$11)^2*J40*(1-E$33)/E$34^2*(E$20/2/PI())^2/E$19*LN((E$18+E$19*J40)/(E$18+E$19*E$33*J40))</f>
        <v>3037.6671685871147</v>
      </c>
      <c r="O40" s="11">
        <f aca="true" t="shared" si="12" ref="O40:O56">(Y40+Z40+AA40+AB40+AC40)/5</f>
        <v>11536.71218112182</v>
      </c>
      <c r="P40" s="11">
        <f aca="true" t="shared" si="13" ref="P40:P56">(AD40+AE40+AF40+AG40+AH40)/5</f>
        <v>1.1309503323135797</v>
      </c>
      <c r="Q40" s="120">
        <f aca="true" t="shared" si="14" ref="Q40:Q56">SUM(K40:P40)</f>
        <v>21987.919688702194</v>
      </c>
      <c r="R40" s="90">
        <f aca="true" t="shared" si="15" ref="R40:R55">Q40*J$29</f>
        <v>0.17345976089084397</v>
      </c>
      <c r="S40" s="28"/>
      <c r="T40" s="92">
        <f aca="true" t="shared" si="16" ref="T40:T56">SQRT(($B40-$C40*0.8*$E$5)^2+$D40^2)*$E$29/$E$30</f>
        <v>0.41780715600743407</v>
      </c>
      <c r="U40" s="93">
        <f aca="true" t="shared" si="17" ref="U40:U56">SQRT(($B40-$C40*0.4*$E$5)^2+$D40^2)*$E$29/$E$30</f>
        <v>0.3057726492185278</v>
      </c>
      <c r="V40" s="93">
        <f aca="true" t="shared" si="18" ref="V40:V56">SQRT(($B40)^2+$D40^2)*$E$29/$E$30</f>
        <v>0.19373814243134851</v>
      </c>
      <c r="W40" s="93">
        <f aca="true" t="shared" si="19" ref="W40:W56">SQRT(($B40+$C40*0.4*$E$5)^2+$D40^2)*$E$29/$E$30</f>
        <v>0.08170363565299996</v>
      </c>
      <c r="X40" s="94">
        <f aca="true" t="shared" si="20" ref="X40:X56">SQRT(($B40+$C40*0.8*$E$5)^2+$D40^2)*$E$29/$E$30</f>
        <v>0.03033087121437408</v>
      </c>
      <c r="Y40" s="165">
        <f aca="true" t="shared" si="21" ref="Y40:Y56">$L$36*$E$14*$E$15*$E$17/$E$34*2/3*$E$21/PI()*($E$22*$E$23*LN((T40+$E$23)/($E$33*T40+$E$23))+$E$24*T40*(1-$E$33)+$E$25*T40^2/2*(1-$E$33^2))</f>
        <v>20413.623150472027</v>
      </c>
      <c r="Z40" s="165">
        <f aca="true" t="shared" si="22" ref="Z40:Z56">$L$36*$E$14*$E$15*$E$17/$E$34*2/3*$E$21/PI()*($E$22*$E$23*LN((U40+$E$23)/($E$33*U40+$E$23))+$E$24*U40*(1-$E$33)+$E$25*U40^2/2*(1-$E$33^2))</f>
        <v>16602.28574392911</v>
      </c>
      <c r="AA40" s="165">
        <f aca="true" t="shared" si="23" ref="AA40:AA56">$L$36*$E$14*$E$15*$E$17/$E$34*2/3*$E$21/PI()*($E$22*$E$23*LN((V40+$E$23)/($E$33*V40+$E$23))+$E$24*V40*(1-$E$33)+$E$25*V40^2/2*(1-$E$33^2))</f>
        <v>12029.988036700153</v>
      </c>
      <c r="AB40" s="165">
        <f aca="true" t="shared" si="24" ref="AB40:AB56">$L$36*$E$14*$E$15*$E$17/$E$34*2/3*$E$21/PI()*($E$22*$E$23*LN((W40+$E$23)/($E$33*W40+$E$23))+$E$24*W40*(1-$E$33)+$E$25*W40^2/2*(1-$E$33^2))</f>
        <v>6099.265199609714</v>
      </c>
      <c r="AC40" s="165">
        <f aca="true" t="shared" si="25" ref="AC40:AC56">$L$36*$E$14*$E$15*$E$17/$E$34*2/3*$E$21/PI()*($E$22*$E$23*LN((X40+$E$23)/($E$33*X40+$E$23))+$E$24*X40*(1-$E$33)+$E$25*X40^2/2*(1-$E$33^2))</f>
        <v>2538.3987748980944</v>
      </c>
      <c r="AD40" s="69">
        <f aca="true" t="shared" si="26" ref="AD40:AD56">1/9/PI()*$E$21/$E$34*$E$28^2*T40*(3*T40+4*$E$27)/($E$26*$E$27*$E$14*$E$15*$E$17*16*$E$5^2*$E$6^2)</f>
        <v>2.5636482829699196</v>
      </c>
      <c r="AE40" s="70">
        <f aca="true" t="shared" si="27" ref="AE40:AE56">1/9/PI()*$E$21/$E$34*$E$28^2*U40*(3*U40+4*$E$27)/($E$26*$E$27*$E$14*$E$15*$E$17*16*$E$5^2*$E$6^2)</f>
        <v>1.6823821041533418</v>
      </c>
      <c r="AF40" s="70">
        <f aca="true" t="shared" si="28" ref="AF40:AF56">1/9/PI()*$E$21/$E$34*$E$28^2*V40*(3*V40+4*$E$27)/($E$26*$E$27*$E$14*$E$15*$E$17*16*$E$5^2*$E$6^2)</f>
        <v>0.9431514905358024</v>
      </c>
      <c r="AG40" s="70">
        <f aca="true" t="shared" si="29" ref="AG40:AG56">1/9/PI()*$E$21/$E$34*$E$28^2*W40*(3*W40+4*$E$27)/($E$26*$E$27*$E$14*$E$15*$E$17*16*$E$5^2*$E$6^2)</f>
        <v>0.34595644214409615</v>
      </c>
      <c r="AH40" s="71">
        <f aca="true" t="shared" si="30" ref="AH40:AH56">1/9/PI()*$E$21/$E$34*$E$28^2*X40*(3*X40+4*$E$27)/($E$26*$E$27*$E$14*$E$15*$E$17*16*$E$5^2*$E$6^2)</f>
        <v>0.1196133417647385</v>
      </c>
      <c r="AI40" s="28"/>
      <c r="BX40"/>
    </row>
    <row r="41" spans="1:76" ht="16.5">
      <c r="A41" s="18">
        <v>1</v>
      </c>
      <c r="B41" s="4">
        <v>-0.8217296287421121</v>
      </c>
      <c r="C41" s="11">
        <v>246.64712192512508</v>
      </c>
      <c r="D41" s="4">
        <v>-0.004352904612639874</v>
      </c>
      <c r="E41" s="4">
        <f t="shared" si="2"/>
        <v>0.8217411578661593</v>
      </c>
      <c r="F41" s="83">
        <f t="shared" si="3"/>
        <v>1.5493370327449671</v>
      </c>
      <c r="G41" s="86">
        <f t="shared" si="4"/>
        <v>465.0428883810984</v>
      </c>
      <c r="H41" s="88">
        <f t="shared" si="5"/>
        <v>0.00820722057532854</v>
      </c>
      <c r="I41" s="88">
        <f t="shared" si="6"/>
        <v>1.5493587704287708</v>
      </c>
      <c r="J41" s="57">
        <f t="shared" si="7"/>
        <v>0.19367767590957588</v>
      </c>
      <c r="K41" s="11">
        <f t="shared" si="8"/>
        <v>142.02861414753843</v>
      </c>
      <c r="L41" s="11">
        <f t="shared" si="9"/>
        <v>7283.5396041314525</v>
      </c>
      <c r="M41" s="15">
        <f t="shared" si="10"/>
        <v>0.0009636508912010053</v>
      </c>
      <c r="N41" s="11">
        <f t="shared" si="11"/>
        <v>3035.8310109219374</v>
      </c>
      <c r="O41" s="11">
        <f t="shared" si="12"/>
        <v>11577.543941720473</v>
      </c>
      <c r="P41" s="11">
        <f t="shared" si="13"/>
        <v>1.1367723521066078</v>
      </c>
      <c r="Q41" s="121">
        <f t="shared" si="14"/>
        <v>22040.0809069244</v>
      </c>
      <c r="R41" s="90">
        <f t="shared" si="15"/>
        <v>0.1738712537727853</v>
      </c>
      <c r="S41" s="28"/>
      <c r="T41" s="79">
        <f t="shared" si="16"/>
        <v>0.41992872352522986</v>
      </c>
      <c r="U41" s="80">
        <f t="shared" si="17"/>
        <v>0.3068029298004102</v>
      </c>
      <c r="V41" s="80">
        <f t="shared" si="18"/>
        <v>0.19367767590957588</v>
      </c>
      <c r="W41" s="80">
        <f t="shared" si="19"/>
        <v>0.08055523618230442</v>
      </c>
      <c r="X41" s="81">
        <f t="shared" si="20"/>
        <v>0.03259370377959265</v>
      </c>
      <c r="Y41" s="165">
        <f t="shared" si="21"/>
        <v>20480.467215088363</v>
      </c>
      <c r="Z41" s="165">
        <f t="shared" si="22"/>
        <v>16640.239281041257</v>
      </c>
      <c r="AA41" s="165">
        <f t="shared" si="23"/>
        <v>12027.233249529823</v>
      </c>
      <c r="AB41" s="165">
        <f t="shared" si="24"/>
        <v>6027.3129372157255</v>
      </c>
      <c r="AC41" s="165">
        <f t="shared" si="25"/>
        <v>2712.467025727191</v>
      </c>
      <c r="AD41" s="72">
        <f t="shared" si="26"/>
        <v>2.5817068968489827</v>
      </c>
      <c r="AE41" s="73">
        <f t="shared" si="27"/>
        <v>1.6898392356709748</v>
      </c>
      <c r="AF41" s="73">
        <f t="shared" si="28"/>
        <v>0.94279086782037</v>
      </c>
      <c r="AG41" s="73">
        <f t="shared" si="29"/>
        <v>0.34057037207923374</v>
      </c>
      <c r="AH41" s="74">
        <f t="shared" si="30"/>
        <v>0.1289543881134778</v>
      </c>
      <c r="AI41" s="28"/>
      <c r="BX41"/>
    </row>
    <row r="42" spans="1:76" ht="16.5">
      <c r="A42" s="18">
        <v>2</v>
      </c>
      <c r="B42" s="4">
        <v>-0.821585611225844</v>
      </c>
      <c r="C42" s="11">
        <v>247.8761242952973</v>
      </c>
      <c r="D42" s="4">
        <v>-0.04666387906774721</v>
      </c>
      <c r="E42" s="4">
        <f t="shared" si="2"/>
        <v>0.8229097363520455</v>
      </c>
      <c r="F42" s="83">
        <f t="shared" si="3"/>
        <v>1.5490654937088737</v>
      </c>
      <c r="G42" s="86">
        <f t="shared" si="4"/>
        <v>467.3601212261085</v>
      </c>
      <c r="H42" s="88">
        <f t="shared" si="5"/>
        <v>0.08798280286164922</v>
      </c>
      <c r="I42" s="88">
        <f t="shared" si="6"/>
        <v>1.5515620765534675</v>
      </c>
      <c r="J42" s="57">
        <f t="shared" si="7"/>
        <v>0.19395310030945875</v>
      </c>
      <c r="K42" s="11">
        <f t="shared" si="8"/>
        <v>141.9788342319041</v>
      </c>
      <c r="L42" s="11">
        <f t="shared" si="9"/>
        <v>7290.361269135478</v>
      </c>
      <c r="M42" s="15">
        <f t="shared" si="10"/>
        <v>0.11074473863799894</v>
      </c>
      <c r="N42" s="11">
        <f t="shared" si="11"/>
        <v>3044.1989033308655</v>
      </c>
      <c r="O42" s="11">
        <f t="shared" si="12"/>
        <v>11638.988070904095</v>
      </c>
      <c r="P42" s="11">
        <f t="shared" si="13"/>
        <v>1.142804426847431</v>
      </c>
      <c r="Q42" s="121">
        <f t="shared" si="14"/>
        <v>22116.780626767828</v>
      </c>
      <c r="R42" s="90">
        <f t="shared" si="15"/>
        <v>0.17447632761573154</v>
      </c>
      <c r="S42" s="28"/>
      <c r="T42" s="79">
        <f t="shared" si="16"/>
        <v>0.42116453514895114</v>
      </c>
      <c r="U42" s="80">
        <f t="shared" si="17"/>
        <v>0.3075276925458785</v>
      </c>
      <c r="V42" s="80">
        <f t="shared" si="18"/>
        <v>0.19395310030945875</v>
      </c>
      <c r="W42" s="80">
        <f t="shared" si="19"/>
        <v>0.08070400224529041</v>
      </c>
      <c r="X42" s="81">
        <f t="shared" si="20"/>
        <v>0.03548625450597717</v>
      </c>
      <c r="Y42" s="165">
        <f t="shared" si="21"/>
        <v>20519.324640706745</v>
      </c>
      <c r="Z42" s="165">
        <f t="shared" si="22"/>
        <v>16666.900878128377</v>
      </c>
      <c r="AA42" s="165">
        <f t="shared" si="23"/>
        <v>12039.778246913524</v>
      </c>
      <c r="AB42" s="165">
        <f t="shared" si="24"/>
        <v>6036.650572362132</v>
      </c>
      <c r="AC42" s="165">
        <f t="shared" si="25"/>
        <v>2932.286016409693</v>
      </c>
      <c r="AD42" s="72">
        <f t="shared" si="26"/>
        <v>2.592249502616015</v>
      </c>
      <c r="AE42" s="73">
        <f t="shared" si="27"/>
        <v>1.6950922376813757</v>
      </c>
      <c r="AF42" s="73">
        <f t="shared" si="28"/>
        <v>0.9444338356505598</v>
      </c>
      <c r="AG42" s="73">
        <f t="shared" si="29"/>
        <v>0.34126725341984904</v>
      </c>
      <c r="AH42" s="74">
        <f t="shared" si="30"/>
        <v>0.14097930486935623</v>
      </c>
      <c r="AI42" s="28"/>
      <c r="BX42"/>
    </row>
    <row r="43" spans="1:76" ht="16.5">
      <c r="A43" s="18">
        <v>3</v>
      </c>
      <c r="B43" s="4">
        <v>-0.8208176406045933</v>
      </c>
      <c r="C43" s="11">
        <v>248.61971105177216</v>
      </c>
      <c r="D43" s="4">
        <v>-0.08816510333209439</v>
      </c>
      <c r="E43" s="4">
        <f t="shared" si="2"/>
        <v>0.8255390266809015</v>
      </c>
      <c r="F43" s="83">
        <f t="shared" si="3"/>
        <v>1.5476175170484905</v>
      </c>
      <c r="G43" s="86">
        <f t="shared" si="4"/>
        <v>468.7621231237749</v>
      </c>
      <c r="H43" s="88">
        <f t="shared" si="5"/>
        <v>0.16623163484722014</v>
      </c>
      <c r="I43" s="88">
        <f t="shared" si="6"/>
        <v>1.5565194940955012</v>
      </c>
      <c r="J43" s="57">
        <f t="shared" si="7"/>
        <v>0.19457280255427112</v>
      </c>
      <c r="K43" s="11">
        <f t="shared" si="8"/>
        <v>141.7135311107869</v>
      </c>
      <c r="L43" s="11">
        <f t="shared" si="9"/>
        <v>7283.950802700388</v>
      </c>
      <c r="M43" s="15">
        <f t="shared" si="10"/>
        <v>0.395325535951867</v>
      </c>
      <c r="N43" s="11">
        <f t="shared" si="11"/>
        <v>3063.066040532712</v>
      </c>
      <c r="O43" s="11">
        <f t="shared" si="12"/>
        <v>11745.26489920807</v>
      </c>
      <c r="P43" s="11">
        <f t="shared" si="13"/>
        <v>1.1514034218620026</v>
      </c>
      <c r="Q43" s="121">
        <f t="shared" si="14"/>
        <v>22235.54200250977</v>
      </c>
      <c r="R43" s="90">
        <f t="shared" si="15"/>
        <v>0.1754132202427248</v>
      </c>
      <c r="S43" s="28"/>
      <c r="T43" s="79">
        <f t="shared" si="16"/>
        <v>0.4220338835173165</v>
      </c>
      <c r="U43" s="80">
        <f t="shared" si="17"/>
        <v>0.3081923410091189</v>
      </c>
      <c r="V43" s="80">
        <f t="shared" si="18"/>
        <v>0.19457280255427112</v>
      </c>
      <c r="W43" s="80">
        <f t="shared" si="19"/>
        <v>0.08210218114115363</v>
      </c>
      <c r="X43" s="81">
        <f t="shared" si="20"/>
        <v>0.04036207402519557</v>
      </c>
      <c r="Y43" s="165">
        <f t="shared" si="21"/>
        <v>20546.624654224863</v>
      </c>
      <c r="Z43" s="165">
        <f t="shared" si="22"/>
        <v>16691.324116956395</v>
      </c>
      <c r="AA43" s="165">
        <f t="shared" si="23"/>
        <v>12067.976021192022</v>
      </c>
      <c r="AB43" s="165">
        <f t="shared" si="24"/>
        <v>6124.166497947581</v>
      </c>
      <c r="AC43" s="165">
        <f t="shared" si="25"/>
        <v>3296.2332057194953</v>
      </c>
      <c r="AD43" s="72">
        <f t="shared" si="26"/>
        <v>2.5996761957700993</v>
      </c>
      <c r="AE43" s="73">
        <f t="shared" si="27"/>
        <v>1.6999147628743978</v>
      </c>
      <c r="AF43" s="73">
        <f t="shared" si="28"/>
        <v>0.9481336359957073</v>
      </c>
      <c r="AG43" s="73">
        <f t="shared" si="29"/>
        <v>0.34782913536832233</v>
      </c>
      <c r="AH43" s="74">
        <f t="shared" si="30"/>
        <v>0.16146337930148585</v>
      </c>
      <c r="AI43" s="28"/>
      <c r="BX43"/>
    </row>
    <row r="44" spans="1:76" ht="16.5">
      <c r="A44" s="18">
        <v>4</v>
      </c>
      <c r="B44" s="4">
        <v>-0.8198187393907777</v>
      </c>
      <c r="C44" s="11">
        <v>249.01848455721432</v>
      </c>
      <c r="D44" s="4">
        <v>-0.12932473383011736</v>
      </c>
      <c r="E44" s="4">
        <f t="shared" si="2"/>
        <v>0.8299564158656251</v>
      </c>
      <c r="F44" s="83">
        <f t="shared" si="3"/>
        <v>1.5457341303620602</v>
      </c>
      <c r="G44" s="86">
        <f t="shared" si="4"/>
        <v>469.51399398013535</v>
      </c>
      <c r="H44" s="88">
        <f t="shared" si="5"/>
        <v>0.243836405995979</v>
      </c>
      <c r="I44" s="88">
        <f t="shared" si="6"/>
        <v>1.564848297649069</v>
      </c>
      <c r="J44" s="57">
        <f t="shared" si="7"/>
        <v>0.1956139450876535</v>
      </c>
      <c r="K44" s="11">
        <f t="shared" si="8"/>
        <v>141.36882194219905</v>
      </c>
      <c r="L44" s="11">
        <f t="shared" si="9"/>
        <v>7271.430707893851</v>
      </c>
      <c r="M44" s="15">
        <f t="shared" si="10"/>
        <v>0.8505985012562297</v>
      </c>
      <c r="N44" s="11">
        <f t="shared" si="11"/>
        <v>3094.887065412932</v>
      </c>
      <c r="O44" s="11">
        <f t="shared" si="12"/>
        <v>11887.215095856674</v>
      </c>
      <c r="P44" s="11">
        <f t="shared" si="13"/>
        <v>1.1626997016510736</v>
      </c>
      <c r="Q44" s="121">
        <f t="shared" si="14"/>
        <v>22396.914989308563</v>
      </c>
      <c r="R44" s="90">
        <f t="shared" si="15"/>
        <v>0.17668627017653651</v>
      </c>
      <c r="S44" s="28"/>
      <c r="T44" s="79">
        <f t="shared" si="16"/>
        <v>0.42275264554400666</v>
      </c>
      <c r="U44" s="80">
        <f t="shared" si="17"/>
        <v>0.3089457773118317</v>
      </c>
      <c r="V44" s="80">
        <f t="shared" si="18"/>
        <v>0.1956139450876535</v>
      </c>
      <c r="W44" s="80">
        <f t="shared" si="19"/>
        <v>0.08468627926817544</v>
      </c>
      <c r="X44" s="81">
        <f t="shared" si="20"/>
        <v>0.04656548581736813</v>
      </c>
      <c r="Y44" s="165">
        <f t="shared" si="21"/>
        <v>20569.174211700705</v>
      </c>
      <c r="Z44" s="165">
        <f t="shared" si="22"/>
        <v>16718.978871130494</v>
      </c>
      <c r="AA44" s="165">
        <f t="shared" si="23"/>
        <v>12115.262183790124</v>
      </c>
      <c r="AB44" s="165">
        <f t="shared" si="24"/>
        <v>6284.7656436049665</v>
      </c>
      <c r="AC44" s="165">
        <f t="shared" si="25"/>
        <v>3747.8945690570854</v>
      </c>
      <c r="AD44" s="72">
        <f t="shared" si="26"/>
        <v>2.605822914247368</v>
      </c>
      <c r="AE44" s="73">
        <f t="shared" si="27"/>
        <v>1.7053875559366265</v>
      </c>
      <c r="AF44" s="73">
        <f t="shared" si="28"/>
        <v>0.9543593395685867</v>
      </c>
      <c r="AG44" s="73">
        <f t="shared" si="29"/>
        <v>0.360014954244748</v>
      </c>
      <c r="AH44" s="74">
        <f t="shared" si="30"/>
        <v>0.18791374425804047</v>
      </c>
      <c r="AI44" s="28"/>
      <c r="BX44"/>
    </row>
    <row r="45" spans="1:76" ht="16.5">
      <c r="A45" s="18">
        <v>5</v>
      </c>
      <c r="B45" s="4">
        <v>-0.8183791186552796</v>
      </c>
      <c r="C45" s="11">
        <v>249.07833636928586</v>
      </c>
      <c r="D45" s="4">
        <v>-0.17029335958175434</v>
      </c>
      <c r="E45" s="4">
        <f t="shared" si="2"/>
        <v>0.8359092116782976</v>
      </c>
      <c r="F45" s="83">
        <f t="shared" si="3"/>
        <v>1.5430197853505152</v>
      </c>
      <c r="G45" s="86">
        <f t="shared" si="4"/>
        <v>469.62684208208503</v>
      </c>
      <c r="H45" s="88">
        <f t="shared" si="5"/>
        <v>0.3210810456408284</v>
      </c>
      <c r="I45" s="88">
        <f t="shared" si="6"/>
        <v>1.5760720465299034</v>
      </c>
      <c r="J45" s="57">
        <f t="shared" si="7"/>
        <v>0.19701697041640362</v>
      </c>
      <c r="K45" s="11">
        <f t="shared" si="8"/>
        <v>140.87276400418182</v>
      </c>
      <c r="L45" s="11">
        <f t="shared" si="9"/>
        <v>7249.602238300269</v>
      </c>
      <c r="M45" s="15">
        <f t="shared" si="10"/>
        <v>1.4748805673728382</v>
      </c>
      <c r="N45" s="11">
        <f t="shared" si="11"/>
        <v>3138.012080168006</v>
      </c>
      <c r="O45" s="11">
        <f t="shared" si="12"/>
        <v>12053.57597987329</v>
      </c>
      <c r="P45" s="11">
        <f t="shared" si="13"/>
        <v>1.1760028457695428</v>
      </c>
      <c r="Q45" s="121">
        <f t="shared" si="14"/>
        <v>22584.71394575889</v>
      </c>
      <c r="R45" s="90">
        <f t="shared" si="15"/>
        <v>0.17816779105448305</v>
      </c>
      <c r="S45" s="28"/>
      <c r="T45" s="79">
        <f t="shared" si="16"/>
        <v>0.4232752317029615</v>
      </c>
      <c r="U45" s="80">
        <f t="shared" si="17"/>
        <v>0.30973814535691374</v>
      </c>
      <c r="V45" s="80">
        <f t="shared" si="18"/>
        <v>0.19701697041640362</v>
      </c>
      <c r="W45" s="80">
        <f t="shared" si="19"/>
        <v>0.08829397262524852</v>
      </c>
      <c r="X45" s="81">
        <f t="shared" si="20"/>
        <v>0.053648258115346514</v>
      </c>
      <c r="Y45" s="165">
        <f t="shared" si="21"/>
        <v>20585.556932566702</v>
      </c>
      <c r="Z45" s="165">
        <f t="shared" si="22"/>
        <v>16748.027077028884</v>
      </c>
      <c r="AA45" s="165">
        <f t="shared" si="23"/>
        <v>12178.810595785271</v>
      </c>
      <c r="AB45" s="165">
        <f t="shared" si="24"/>
        <v>6506.544011301431</v>
      </c>
      <c r="AC45" s="165">
        <f t="shared" si="25"/>
        <v>4248.941282684157</v>
      </c>
      <c r="AD45" s="72">
        <f t="shared" si="26"/>
        <v>2.610295643793157</v>
      </c>
      <c r="AE45" s="73">
        <f t="shared" si="27"/>
        <v>1.7111500706693505</v>
      </c>
      <c r="AF45" s="73">
        <f t="shared" si="28"/>
        <v>0.9627683905854617</v>
      </c>
      <c r="AG45" s="73">
        <f t="shared" si="29"/>
        <v>0.3771541251778106</v>
      </c>
      <c r="AH45" s="74">
        <f t="shared" si="30"/>
        <v>0.21864599862193468</v>
      </c>
      <c r="AI45" s="28"/>
      <c r="BX45"/>
    </row>
    <row r="46" spans="1:76" ht="16.5">
      <c r="A46" s="18">
        <v>6</v>
      </c>
      <c r="B46" s="4">
        <v>-0.8165897522528507</v>
      </c>
      <c r="C46" s="11">
        <v>248.9262978938888</v>
      </c>
      <c r="D46" s="4">
        <v>-0.21129872517543874</v>
      </c>
      <c r="E46" s="4">
        <f t="shared" si="2"/>
        <v>0.8434844247199457</v>
      </c>
      <c r="F46" s="83">
        <f t="shared" si="3"/>
        <v>1.5396460094326667</v>
      </c>
      <c r="G46" s="86">
        <f t="shared" si="4"/>
        <v>469.34017986120915</v>
      </c>
      <c r="H46" s="88">
        <f t="shared" si="5"/>
        <v>0.3983949567295569</v>
      </c>
      <c r="I46" s="88">
        <f t="shared" si="6"/>
        <v>1.5903547956067794</v>
      </c>
      <c r="J46" s="57">
        <f t="shared" si="7"/>
        <v>0.19880238622816132</v>
      </c>
      <c r="K46" s="11">
        <f t="shared" si="8"/>
        <v>140.25740760175515</v>
      </c>
      <c r="L46" s="11">
        <f t="shared" si="9"/>
        <v>7220.844801251269</v>
      </c>
      <c r="M46" s="15">
        <f t="shared" si="10"/>
        <v>2.270676055795909</v>
      </c>
      <c r="N46" s="11">
        <f t="shared" si="11"/>
        <v>3193.2944877693717</v>
      </c>
      <c r="O46" s="11">
        <f t="shared" si="12"/>
        <v>12239.890676751964</v>
      </c>
      <c r="P46" s="11">
        <f t="shared" si="13"/>
        <v>1.1914355025341945</v>
      </c>
      <c r="Q46" s="121">
        <f t="shared" si="14"/>
        <v>22797.749484932687</v>
      </c>
      <c r="R46" s="90">
        <f t="shared" si="15"/>
        <v>0.17984839996198812</v>
      </c>
      <c r="S46" s="28"/>
      <c r="T46" s="79">
        <f t="shared" si="16"/>
        <v>0.4237434449803139</v>
      </c>
      <c r="U46" s="80">
        <f t="shared" si="17"/>
        <v>0.3106530065311192</v>
      </c>
      <c r="V46" s="80">
        <f t="shared" si="18"/>
        <v>0.19880238622816132</v>
      </c>
      <c r="W46" s="80">
        <f t="shared" si="19"/>
        <v>0.09278901914206508</v>
      </c>
      <c r="X46" s="81">
        <f t="shared" si="20"/>
        <v>0.061380211606267034</v>
      </c>
      <c r="Y46" s="165">
        <f t="shared" si="21"/>
        <v>20600.22635296146</v>
      </c>
      <c r="Z46" s="165">
        <f t="shared" si="22"/>
        <v>16781.520729276584</v>
      </c>
      <c r="AA46" s="165">
        <f t="shared" si="23"/>
        <v>12259.393087196378</v>
      </c>
      <c r="AB46" s="165">
        <f t="shared" si="24"/>
        <v>6779.016427231221</v>
      </c>
      <c r="AC46" s="165">
        <f t="shared" si="25"/>
        <v>4779.296787094173</v>
      </c>
      <c r="AD46" s="72">
        <f t="shared" si="26"/>
        <v>2.614305629510023</v>
      </c>
      <c r="AE46" s="73">
        <f t="shared" si="27"/>
        <v>1.7178122566009837</v>
      </c>
      <c r="AF46" s="73">
        <f t="shared" si="28"/>
        <v>0.9735015133605311</v>
      </c>
      <c r="AG46" s="73">
        <f t="shared" si="29"/>
        <v>0.398714946907738</v>
      </c>
      <c r="AH46" s="74">
        <f t="shared" si="30"/>
        <v>0.2528431662916961</v>
      </c>
      <c r="AI46" s="28"/>
      <c r="BX46"/>
    </row>
    <row r="47" spans="1:76" ht="16.5">
      <c r="A47" s="18">
        <v>7</v>
      </c>
      <c r="B47" s="4">
        <v>-0.814521089821648</v>
      </c>
      <c r="C47" s="11">
        <v>248.45779899296454</v>
      </c>
      <c r="D47" s="4">
        <v>-0.25243209734431343</v>
      </c>
      <c r="E47" s="4">
        <f t="shared" si="2"/>
        <v>0.8527406226596068</v>
      </c>
      <c r="F47" s="83">
        <f t="shared" si="3"/>
        <v>1.5357456324707008</v>
      </c>
      <c r="G47" s="86">
        <f t="shared" si="4"/>
        <v>468.456844672099</v>
      </c>
      <c r="H47" s="88">
        <f t="shared" si="5"/>
        <v>0.47595021889099864</v>
      </c>
      <c r="I47" s="88">
        <f t="shared" si="6"/>
        <v>1.6078069717833734</v>
      </c>
      <c r="J47" s="57">
        <f t="shared" si="7"/>
        <v>0.2009839964439229</v>
      </c>
      <c r="K47" s="11">
        <f t="shared" si="8"/>
        <v>139.54768104119415</v>
      </c>
      <c r="L47" s="11">
        <f t="shared" si="9"/>
        <v>7185.506055445277</v>
      </c>
      <c r="M47" s="15">
        <f t="shared" si="10"/>
        <v>3.240787671198781</v>
      </c>
      <c r="N47" s="11">
        <f t="shared" si="11"/>
        <v>3261.457252211643</v>
      </c>
      <c r="O47" s="11">
        <f t="shared" si="12"/>
        <v>12440.55894019554</v>
      </c>
      <c r="P47" s="11">
        <f t="shared" si="13"/>
        <v>1.2086310543968348</v>
      </c>
      <c r="Q47" s="121">
        <f t="shared" si="14"/>
        <v>23031.51934761925</v>
      </c>
      <c r="R47" s="90">
        <f t="shared" si="15"/>
        <v>0.18169257917762952</v>
      </c>
      <c r="S47" s="28"/>
      <c r="T47" s="79">
        <f t="shared" si="16"/>
        <v>0.42408363802486304</v>
      </c>
      <c r="U47" s="80">
        <f t="shared" si="17"/>
        <v>0.31166426190122887</v>
      </c>
      <c r="V47" s="80">
        <f t="shared" si="18"/>
        <v>0.2009839964439229</v>
      </c>
      <c r="W47" s="80">
        <f t="shared" si="19"/>
        <v>0.09811623760011448</v>
      </c>
      <c r="X47" s="81">
        <f t="shared" si="20"/>
        <v>0.06950755289270144</v>
      </c>
      <c r="Y47" s="165">
        <f t="shared" si="21"/>
        <v>20610.879639787963</v>
      </c>
      <c r="Z47" s="165">
        <f t="shared" si="22"/>
        <v>16818.48734366189</v>
      </c>
      <c r="AA47" s="165">
        <f t="shared" si="23"/>
        <v>12357.427124709131</v>
      </c>
      <c r="AB47" s="165">
        <f t="shared" si="24"/>
        <v>7096.595372567569</v>
      </c>
      <c r="AC47" s="165">
        <f t="shared" si="25"/>
        <v>5319.405220251144</v>
      </c>
      <c r="AD47" s="72">
        <f t="shared" si="26"/>
        <v>2.6172207493296713</v>
      </c>
      <c r="AE47" s="73">
        <f t="shared" si="27"/>
        <v>1.7251874232905462</v>
      </c>
      <c r="AF47" s="73">
        <f t="shared" si="28"/>
        <v>0.9866653472632327</v>
      </c>
      <c r="AG47" s="73">
        <f t="shared" si="29"/>
        <v>0.4245633998665024</v>
      </c>
      <c r="AH47" s="74">
        <f t="shared" si="30"/>
        <v>0.2895183522342218</v>
      </c>
      <c r="AI47" s="28"/>
      <c r="BX47"/>
    </row>
    <row r="48" spans="1:76" ht="16.5">
      <c r="A48" s="18">
        <v>8</v>
      </c>
      <c r="B48" s="4">
        <v>-0.811908099555227</v>
      </c>
      <c r="C48" s="11">
        <v>247.71187929577997</v>
      </c>
      <c r="D48" s="4">
        <v>-0.2939766016246563</v>
      </c>
      <c r="E48" s="4">
        <f t="shared" si="2"/>
        <v>0.863491172176162</v>
      </c>
      <c r="F48" s="83">
        <f t="shared" si="3"/>
        <v>1.5308189480183398</v>
      </c>
      <c r="G48" s="86">
        <f t="shared" si="4"/>
        <v>467.0504441117698</v>
      </c>
      <c r="H48" s="88">
        <f t="shared" si="5"/>
        <v>0.5542806535463706</v>
      </c>
      <c r="I48" s="88">
        <f t="shared" si="6"/>
        <v>1.6280766856962752</v>
      </c>
      <c r="J48" s="57">
        <f t="shared" si="7"/>
        <v>0.20351781311500702</v>
      </c>
      <c r="K48" s="11">
        <f t="shared" si="8"/>
        <v>138.65377698391845</v>
      </c>
      <c r="L48" s="11">
        <f t="shared" si="9"/>
        <v>7139.8551506844</v>
      </c>
      <c r="M48" s="15">
        <f t="shared" si="10"/>
        <v>4.395284150134916</v>
      </c>
      <c r="N48" s="11">
        <f t="shared" si="11"/>
        <v>3341.4688289383416</v>
      </c>
      <c r="O48" s="11">
        <f t="shared" si="12"/>
        <v>12652.484186635927</v>
      </c>
      <c r="P48" s="11">
        <f t="shared" si="13"/>
        <v>1.2273966790052022</v>
      </c>
      <c r="Q48" s="121">
        <f t="shared" si="14"/>
        <v>23278.084624071726</v>
      </c>
      <c r="R48" s="90">
        <f t="shared" si="15"/>
        <v>0.1836376997030336</v>
      </c>
      <c r="S48" s="28"/>
      <c r="T48" s="79">
        <f t="shared" si="16"/>
        <v>0.42428509175561946</v>
      </c>
      <c r="U48" s="80">
        <f t="shared" si="17"/>
        <v>0.3127465255883202</v>
      </c>
      <c r="V48" s="80">
        <f t="shared" si="18"/>
        <v>0.20351781311500702</v>
      </c>
      <c r="W48" s="80">
        <f t="shared" si="19"/>
        <v>0.1041401557936304</v>
      </c>
      <c r="X48" s="81">
        <f t="shared" si="20"/>
        <v>0.07802182161668564</v>
      </c>
      <c r="Y48" s="165">
        <f t="shared" si="21"/>
        <v>20617.186195058046</v>
      </c>
      <c r="Z48" s="165">
        <f t="shared" si="22"/>
        <v>16857.984708626052</v>
      </c>
      <c r="AA48" s="165">
        <f t="shared" si="23"/>
        <v>12470.701423785596</v>
      </c>
      <c r="AB48" s="165">
        <f t="shared" si="24"/>
        <v>7449.026473443126</v>
      </c>
      <c r="AC48" s="165">
        <f t="shared" si="25"/>
        <v>5867.522132266816</v>
      </c>
      <c r="AD48" s="72">
        <f t="shared" si="26"/>
        <v>2.618947627060515</v>
      </c>
      <c r="AE48" s="73">
        <f t="shared" si="27"/>
        <v>1.733093278914096</v>
      </c>
      <c r="AF48" s="73">
        <f t="shared" si="28"/>
        <v>1.0020219965961008</v>
      </c>
      <c r="AG48" s="73">
        <f t="shared" si="29"/>
        <v>0.45417922814625383</v>
      </c>
      <c r="AH48" s="74">
        <f t="shared" si="30"/>
        <v>0.32874126430904477</v>
      </c>
      <c r="AI48" s="28"/>
      <c r="BX48"/>
    </row>
    <row r="49" spans="1:76" ht="16.5">
      <c r="A49" s="18">
        <v>9</v>
      </c>
      <c r="B49" s="4">
        <v>-0.808983216110299</v>
      </c>
      <c r="C49" s="11">
        <v>246.684348194236</v>
      </c>
      <c r="D49" s="4">
        <v>-0.3360578703147423</v>
      </c>
      <c r="E49" s="4">
        <f t="shared" si="2"/>
        <v>0.8760072694610718</v>
      </c>
      <c r="F49" s="83">
        <f t="shared" si="3"/>
        <v>1.525304201952013</v>
      </c>
      <c r="G49" s="86">
        <f t="shared" si="4"/>
        <v>465.1130769629715</v>
      </c>
      <c r="H49" s="88">
        <f t="shared" si="5"/>
        <v>0.6336231351680269</v>
      </c>
      <c r="I49" s="88">
        <f t="shared" si="6"/>
        <v>1.6516752664832839</v>
      </c>
      <c r="J49" s="57">
        <f t="shared" si="7"/>
        <v>0.20646775496761444</v>
      </c>
      <c r="K49" s="11">
        <f t="shared" si="8"/>
        <v>137.6565812397529</v>
      </c>
      <c r="L49" s="11">
        <f t="shared" si="9"/>
        <v>7087.511505648701</v>
      </c>
      <c r="M49" s="15">
        <f t="shared" si="10"/>
        <v>5.743671171443183</v>
      </c>
      <c r="N49" s="11">
        <f t="shared" si="11"/>
        <v>3435.7611290391915</v>
      </c>
      <c r="O49" s="11">
        <f t="shared" si="12"/>
        <v>12875.211566446249</v>
      </c>
      <c r="P49" s="11">
        <f t="shared" si="13"/>
        <v>1.2479812011528948</v>
      </c>
      <c r="Q49" s="121">
        <f t="shared" si="14"/>
        <v>23543.13243474649</v>
      </c>
      <c r="R49" s="90">
        <f t="shared" si="15"/>
        <v>0.18572862647169508</v>
      </c>
      <c r="S49" s="28"/>
      <c r="T49" s="79">
        <f t="shared" si="16"/>
        <v>0.4244137992094105</v>
      </c>
      <c r="U49" s="80">
        <f t="shared" si="17"/>
        <v>0.3139690913127258</v>
      </c>
      <c r="V49" s="80">
        <f t="shared" si="18"/>
        <v>0.20646775496761444</v>
      </c>
      <c r="W49" s="80">
        <f t="shared" si="19"/>
        <v>0.11083367531689148</v>
      </c>
      <c r="X49" s="81">
        <f t="shared" si="20"/>
        <v>0.08684526198007857</v>
      </c>
      <c r="Y49" s="165">
        <f t="shared" si="21"/>
        <v>20621.21461283383</v>
      </c>
      <c r="Z49" s="165">
        <f t="shared" si="22"/>
        <v>16902.521990774458</v>
      </c>
      <c r="AA49" s="165">
        <f t="shared" si="23"/>
        <v>12601.795570963875</v>
      </c>
      <c r="AB49" s="165">
        <f t="shared" si="24"/>
        <v>7832.702737709663</v>
      </c>
      <c r="AC49" s="165">
        <f t="shared" si="25"/>
        <v>6417.8229199494135</v>
      </c>
      <c r="AD49" s="72">
        <f t="shared" si="26"/>
        <v>2.620051158233349</v>
      </c>
      <c r="AE49" s="73">
        <f t="shared" si="27"/>
        <v>1.7420399736334886</v>
      </c>
      <c r="AF49" s="73">
        <f t="shared" si="28"/>
        <v>1.019992175326511</v>
      </c>
      <c r="AG49" s="73">
        <f t="shared" si="29"/>
        <v>0.4875687008378033</v>
      </c>
      <c r="AH49" s="74">
        <f t="shared" si="30"/>
        <v>0.37025399773332135</v>
      </c>
      <c r="AI49" s="28"/>
      <c r="BX49"/>
    </row>
    <row r="50" spans="1:76" ht="16.5">
      <c r="A50" s="18">
        <v>10</v>
      </c>
      <c r="B50" s="4">
        <v>-0.805486638655367</v>
      </c>
      <c r="C50" s="11">
        <v>245.26913205326798</v>
      </c>
      <c r="D50" s="4">
        <v>-0.3788205015613247</v>
      </c>
      <c r="E50" s="4">
        <f t="shared" si="2"/>
        <v>0.8901200466540989</v>
      </c>
      <c r="F50" s="83">
        <f t="shared" si="3"/>
        <v>1.5187115506111089</v>
      </c>
      <c r="G50" s="86">
        <f t="shared" si="4"/>
        <v>462.4447457992326</v>
      </c>
      <c r="H50" s="88">
        <f t="shared" si="5"/>
        <v>0.714250297546688</v>
      </c>
      <c r="I50" s="88">
        <f t="shared" si="6"/>
        <v>1.6782843208184752</v>
      </c>
      <c r="J50" s="57">
        <f t="shared" si="7"/>
        <v>0.20979402122702012</v>
      </c>
      <c r="K50" s="11">
        <f t="shared" si="8"/>
        <v>136.4691976296187</v>
      </c>
      <c r="L50" s="11">
        <f t="shared" si="9"/>
        <v>7023.823858084003</v>
      </c>
      <c r="M50" s="15">
        <f t="shared" si="10"/>
        <v>7.2984120043933896</v>
      </c>
      <c r="N50" s="11">
        <f t="shared" si="11"/>
        <v>3543.5501867412368</v>
      </c>
      <c r="O50" s="11">
        <f t="shared" si="12"/>
        <v>13105.333597087822</v>
      </c>
      <c r="P50" s="11">
        <f t="shared" si="13"/>
        <v>1.2699488325245372</v>
      </c>
      <c r="Q50" s="121">
        <f t="shared" si="14"/>
        <v>23817.7452003796</v>
      </c>
      <c r="R50" s="90">
        <f t="shared" si="15"/>
        <v>0.1878950098921679</v>
      </c>
      <c r="S50" s="28"/>
      <c r="T50" s="79">
        <f t="shared" si="16"/>
        <v>0.424334701216604</v>
      </c>
      <c r="U50" s="80">
        <f t="shared" si="17"/>
        <v>0.3152487632698222</v>
      </c>
      <c r="V50" s="80">
        <f t="shared" si="18"/>
        <v>0.20979402122702012</v>
      </c>
      <c r="W50" s="80">
        <f t="shared" si="19"/>
        <v>0.1181320636192284</v>
      </c>
      <c r="X50" s="81">
        <f t="shared" si="20"/>
        <v>0.09595176955197117</v>
      </c>
      <c r="Y50" s="165">
        <f t="shared" si="21"/>
        <v>20618.738996526838</v>
      </c>
      <c r="Z50" s="165">
        <f t="shared" si="22"/>
        <v>16949.048682426757</v>
      </c>
      <c r="AA50" s="165">
        <f t="shared" si="23"/>
        <v>12748.619261487216</v>
      </c>
      <c r="AB50" s="165">
        <f t="shared" si="24"/>
        <v>8242.015478538626</v>
      </c>
      <c r="AC50" s="165">
        <f t="shared" si="25"/>
        <v>6968.245566459669</v>
      </c>
      <c r="AD50" s="72">
        <f t="shared" si="26"/>
        <v>2.6193729538576793</v>
      </c>
      <c r="AE50" s="73">
        <f t="shared" si="27"/>
        <v>1.7514226870213583</v>
      </c>
      <c r="AF50" s="73">
        <f t="shared" si="28"/>
        <v>1.0403729302130171</v>
      </c>
      <c r="AG50" s="73">
        <f t="shared" si="29"/>
        <v>0.5245532440699425</v>
      </c>
      <c r="AH50" s="74">
        <f t="shared" si="30"/>
        <v>0.4140223474606888</v>
      </c>
      <c r="AI50" s="28"/>
      <c r="BX50"/>
    </row>
    <row r="51" spans="1:76" ht="16.5">
      <c r="A51" s="18">
        <v>11</v>
      </c>
      <c r="B51" s="4">
        <v>-0.8015244467186982</v>
      </c>
      <c r="C51" s="11">
        <v>243.52097485084414</v>
      </c>
      <c r="D51" s="4">
        <v>-0.42258181905155917</v>
      </c>
      <c r="E51" s="4">
        <f t="shared" si="2"/>
        <v>0.9060997916789518</v>
      </c>
      <c r="F51" s="83">
        <f t="shared" si="3"/>
        <v>1.5112410025334868</v>
      </c>
      <c r="G51" s="86">
        <f t="shared" si="4"/>
        <v>459.14866811377635</v>
      </c>
      <c r="H51" s="88">
        <f t="shared" si="5"/>
        <v>0.7967604412944786</v>
      </c>
      <c r="I51" s="88">
        <f t="shared" si="6"/>
        <v>1.7084134653385845</v>
      </c>
      <c r="J51" s="57">
        <f t="shared" si="7"/>
        <v>0.21356031654813779</v>
      </c>
      <c r="K51" s="11">
        <f t="shared" si="8"/>
        <v>135.1299146827289</v>
      </c>
      <c r="L51" s="11">
        <f t="shared" si="9"/>
        <v>6950.957667471867</v>
      </c>
      <c r="M51" s="15">
        <f t="shared" si="10"/>
        <v>9.082032322099074</v>
      </c>
      <c r="N51" s="11">
        <f t="shared" si="11"/>
        <v>3667.4710232409016</v>
      </c>
      <c r="O51" s="11">
        <f t="shared" si="12"/>
        <v>13344.804136135417</v>
      </c>
      <c r="P51" s="11">
        <f t="shared" si="13"/>
        <v>1.2938011914036507</v>
      </c>
      <c r="Q51" s="121">
        <f t="shared" si="14"/>
        <v>24108.73857504442</v>
      </c>
      <c r="R51" s="90">
        <f t="shared" si="15"/>
        <v>0.19019061774888182</v>
      </c>
      <c r="S51" s="28"/>
      <c r="T51" s="79">
        <f t="shared" si="16"/>
        <v>0.4241571694611633</v>
      </c>
      <c r="U51" s="80">
        <f t="shared" si="17"/>
        <v>0.31667563524084474</v>
      </c>
      <c r="V51" s="80">
        <f t="shared" si="18"/>
        <v>0.21356031654813779</v>
      </c>
      <c r="W51" s="80">
        <f t="shared" si="19"/>
        <v>0.12602760392926105</v>
      </c>
      <c r="X51" s="81">
        <f t="shared" si="20"/>
        <v>0.10539593160659579</v>
      </c>
      <c r="Y51" s="165">
        <f t="shared" si="21"/>
        <v>20613.18173509989</v>
      </c>
      <c r="Z51" s="165">
        <f t="shared" si="22"/>
        <v>17000.8182442608</v>
      </c>
      <c r="AA51" s="165">
        <f t="shared" si="23"/>
        <v>12913.617295986924</v>
      </c>
      <c r="AB51" s="165">
        <f t="shared" si="24"/>
        <v>8674.771090742342</v>
      </c>
      <c r="AC51" s="165">
        <f t="shared" si="25"/>
        <v>7521.632314587128</v>
      </c>
      <c r="AD51" s="72">
        <f t="shared" si="26"/>
        <v>2.617851013548776</v>
      </c>
      <c r="AE51" s="73">
        <f t="shared" si="27"/>
        <v>1.7619065397656586</v>
      </c>
      <c r="AF51" s="73">
        <f t="shared" si="28"/>
        <v>1.0636009791532106</v>
      </c>
      <c r="AG51" s="73">
        <f t="shared" si="29"/>
        <v>0.5652426106050232</v>
      </c>
      <c r="AH51" s="74">
        <f t="shared" si="30"/>
        <v>0.46040481394558486</v>
      </c>
      <c r="AI51" s="28"/>
      <c r="BX51"/>
    </row>
    <row r="52" spans="1:76" ht="16.5">
      <c r="A52" s="18">
        <v>12</v>
      </c>
      <c r="B52" s="4">
        <v>-0.7970047609221869</v>
      </c>
      <c r="C52" s="11">
        <v>241.13815804634072</v>
      </c>
      <c r="D52" s="4">
        <v>-0.4676103714250752</v>
      </c>
      <c r="E52" s="4">
        <f t="shared" si="2"/>
        <v>0.924054137156979</v>
      </c>
      <c r="F52" s="83">
        <f t="shared" si="3"/>
        <v>1.50271932297372</v>
      </c>
      <c r="G52" s="86">
        <f t="shared" si="4"/>
        <v>454.6559661491222</v>
      </c>
      <c r="H52" s="88">
        <f t="shared" si="5"/>
        <v>0.8816599037003539</v>
      </c>
      <c r="I52" s="88">
        <f t="shared" si="6"/>
        <v>1.7422656368738703</v>
      </c>
      <c r="J52" s="57">
        <f t="shared" si="7"/>
        <v>0.21779200906028073</v>
      </c>
      <c r="K52" s="11">
        <f t="shared" si="8"/>
        <v>133.61025347750817</v>
      </c>
      <c r="L52" s="11">
        <f t="shared" si="9"/>
        <v>6865.516570867948</v>
      </c>
      <c r="M52" s="15">
        <f t="shared" si="10"/>
        <v>11.120637822533741</v>
      </c>
      <c r="N52" s="11">
        <f t="shared" si="11"/>
        <v>3809.0687950697493</v>
      </c>
      <c r="O52" s="11">
        <f t="shared" si="12"/>
        <v>13591.381677625715</v>
      </c>
      <c r="P52" s="11">
        <f t="shared" si="13"/>
        <v>1.319102101209431</v>
      </c>
      <c r="Q52" s="121">
        <f t="shared" si="14"/>
        <v>24412.017036964666</v>
      </c>
      <c r="R52" s="90">
        <f t="shared" si="15"/>
        <v>0.1925831410176956</v>
      </c>
      <c r="S52" s="28"/>
      <c r="T52" s="79">
        <f t="shared" si="16"/>
        <v>0.4236340121611478</v>
      </c>
      <c r="U52" s="80">
        <f t="shared" si="17"/>
        <v>0.3181466809889648</v>
      </c>
      <c r="V52" s="80">
        <f t="shared" si="18"/>
        <v>0.21779200906028073</v>
      </c>
      <c r="W52" s="80">
        <f t="shared" si="19"/>
        <v>0.1345879712991073</v>
      </c>
      <c r="X52" s="81">
        <f t="shared" si="20"/>
        <v>0.1151477270638979</v>
      </c>
      <c r="Y52" s="165">
        <f t="shared" si="21"/>
        <v>20596.798492608854</v>
      </c>
      <c r="Z52" s="165">
        <f t="shared" si="22"/>
        <v>17054.0708129182</v>
      </c>
      <c r="AA52" s="165">
        <f t="shared" si="23"/>
        <v>13097.453908379577</v>
      </c>
      <c r="AB52" s="165">
        <f t="shared" si="24"/>
        <v>9132.83157284307</v>
      </c>
      <c r="AC52" s="165">
        <f t="shared" si="25"/>
        <v>8075.753601378877</v>
      </c>
      <c r="AD52" s="72">
        <f t="shared" si="26"/>
        <v>2.6133681762700633</v>
      </c>
      <c r="AE52" s="73">
        <f t="shared" si="27"/>
        <v>1.7727390764922326</v>
      </c>
      <c r="AF52" s="73">
        <f t="shared" si="28"/>
        <v>1.0898907893098386</v>
      </c>
      <c r="AG52" s="73">
        <f t="shared" si="29"/>
        <v>0.6101551737310095</v>
      </c>
      <c r="AH52" s="74">
        <f t="shared" si="30"/>
        <v>0.5093572902440114</v>
      </c>
      <c r="AI52" s="28"/>
      <c r="BX52"/>
    </row>
    <row r="53" spans="1:76" ht="16.5">
      <c r="A53" s="18">
        <v>13</v>
      </c>
      <c r="B53" s="4">
        <v>-0.7918310116276626</v>
      </c>
      <c r="C53" s="11">
        <v>238.16823057209103</v>
      </c>
      <c r="D53" s="4">
        <v>-0.5142884104791888</v>
      </c>
      <c r="E53" s="4">
        <f t="shared" si="2"/>
        <v>0.9441869095303631</v>
      </c>
      <c r="F53" s="83">
        <f t="shared" si="3"/>
        <v>1.4929644338961348</v>
      </c>
      <c r="G53" s="86">
        <f t="shared" si="4"/>
        <v>449.05629143924773</v>
      </c>
      <c r="H53" s="88">
        <f t="shared" si="5"/>
        <v>0.9696694046272708</v>
      </c>
      <c r="I53" s="88">
        <f t="shared" si="6"/>
        <v>1.7802251417023107</v>
      </c>
      <c r="J53" s="57">
        <f t="shared" si="7"/>
        <v>0.22253713899026856</v>
      </c>
      <c r="K53" s="11">
        <f t="shared" si="8"/>
        <v>131.881224204246</v>
      </c>
      <c r="L53" s="11">
        <f t="shared" si="9"/>
        <v>6766.671631871283</v>
      </c>
      <c r="M53" s="15">
        <f t="shared" si="10"/>
        <v>13.451629650555237</v>
      </c>
      <c r="N53" s="11">
        <f t="shared" si="11"/>
        <v>3970.8107056835333</v>
      </c>
      <c r="O53" s="11">
        <f t="shared" si="12"/>
        <v>13847.251599729812</v>
      </c>
      <c r="P53" s="11">
        <f t="shared" si="13"/>
        <v>1.3463578475094755</v>
      </c>
      <c r="Q53" s="121">
        <f t="shared" si="14"/>
        <v>24731.41314898694</v>
      </c>
      <c r="R53" s="90">
        <f t="shared" si="15"/>
        <v>0.1951028142748849</v>
      </c>
      <c r="S53" s="28"/>
      <c r="T53" s="79">
        <f t="shared" si="16"/>
        <v>0.4228486999378672</v>
      </c>
      <c r="U53" s="80">
        <f t="shared" si="17"/>
        <v>0.3197328573219291</v>
      </c>
      <c r="V53" s="80">
        <f t="shared" si="18"/>
        <v>0.22253713899026856</v>
      </c>
      <c r="W53" s="80">
        <f t="shared" si="19"/>
        <v>0.14381257794550414</v>
      </c>
      <c r="X53" s="81">
        <f t="shared" si="20"/>
        <v>0.12532732378582828</v>
      </c>
      <c r="Y53" s="165">
        <f t="shared" si="21"/>
        <v>20572.186224981484</v>
      </c>
      <c r="Z53" s="165">
        <f t="shared" si="22"/>
        <v>17111.355847453084</v>
      </c>
      <c r="AA53" s="165">
        <f t="shared" si="23"/>
        <v>13301.688989156126</v>
      </c>
      <c r="AB53" s="165">
        <f t="shared" si="24"/>
        <v>9614.231148745332</v>
      </c>
      <c r="AC53" s="165">
        <f t="shared" si="25"/>
        <v>8636.795788313042</v>
      </c>
      <c r="AD53" s="72">
        <f t="shared" si="26"/>
        <v>2.6066447962995065</v>
      </c>
      <c r="AE53" s="73">
        <f t="shared" si="27"/>
        <v>1.7844468530727549</v>
      </c>
      <c r="AF53" s="73">
        <f t="shared" si="28"/>
        <v>1.1196113899782967</v>
      </c>
      <c r="AG53" s="73">
        <f t="shared" si="29"/>
        <v>0.659480963651386</v>
      </c>
      <c r="AH53" s="74">
        <f t="shared" si="30"/>
        <v>0.5616052345454339</v>
      </c>
      <c r="AI53" s="28"/>
      <c r="BX53"/>
    </row>
    <row r="54" spans="1:76" ht="16.5">
      <c r="A54" s="18">
        <v>14</v>
      </c>
      <c r="B54" s="4">
        <v>-0.7860744857851696</v>
      </c>
      <c r="C54" s="11">
        <v>234.15578260976827</v>
      </c>
      <c r="D54" s="4">
        <v>-0.5627596874814667</v>
      </c>
      <c r="E54" s="4">
        <f t="shared" si="2"/>
        <v>0.96675310346368</v>
      </c>
      <c r="F54" s="83">
        <f t="shared" si="3"/>
        <v>1.4821107438796504</v>
      </c>
      <c r="G54" s="86">
        <f t="shared" si="4"/>
        <v>441.49098771580157</v>
      </c>
      <c r="H54" s="88">
        <f t="shared" si="5"/>
        <v>1.0610599811104722</v>
      </c>
      <c r="I54" s="88">
        <f t="shared" si="6"/>
        <v>1.8227727616567144</v>
      </c>
      <c r="J54" s="57">
        <f t="shared" si="7"/>
        <v>0.2278558064968089</v>
      </c>
      <c r="K54" s="11">
        <f t="shared" si="8"/>
        <v>129.97066981990164</v>
      </c>
      <c r="L54" s="11">
        <f t="shared" si="9"/>
        <v>6652.647673063909</v>
      </c>
      <c r="M54" s="15">
        <f t="shared" si="10"/>
        <v>16.106730284367657</v>
      </c>
      <c r="N54" s="11">
        <f t="shared" si="11"/>
        <v>4155.810317048109</v>
      </c>
      <c r="O54" s="11">
        <f t="shared" si="12"/>
        <v>14109.95765560312</v>
      </c>
      <c r="P54" s="11">
        <f t="shared" si="13"/>
        <v>1.3750833289683624</v>
      </c>
      <c r="Q54" s="121">
        <f t="shared" si="14"/>
        <v>25065.868129148374</v>
      </c>
      <c r="R54" s="90">
        <f t="shared" si="15"/>
        <v>0.19774128493099535</v>
      </c>
      <c r="S54" s="28"/>
      <c r="T54" s="79">
        <f t="shared" si="16"/>
        <v>0.4214796689240801</v>
      </c>
      <c r="U54" s="80">
        <f t="shared" si="17"/>
        <v>0.3213215976052247</v>
      </c>
      <c r="V54" s="80">
        <f t="shared" si="18"/>
        <v>0.2278558064968089</v>
      </c>
      <c r="W54" s="80">
        <f t="shared" si="19"/>
        <v>0.1538090040165528</v>
      </c>
      <c r="X54" s="81">
        <f t="shared" si="20"/>
        <v>0.1358837465421534</v>
      </c>
      <c r="Y54" s="165">
        <f t="shared" si="21"/>
        <v>20529.224050449953</v>
      </c>
      <c r="Z54" s="165">
        <f t="shared" si="22"/>
        <v>17168.59362890711</v>
      </c>
      <c r="AA54" s="165">
        <f t="shared" si="23"/>
        <v>13528.27374440042</v>
      </c>
      <c r="AB54" s="165">
        <f t="shared" si="24"/>
        <v>10122.496587085767</v>
      </c>
      <c r="AC54" s="165">
        <f t="shared" si="25"/>
        <v>9201.200267172362</v>
      </c>
      <c r="AD54" s="72">
        <f t="shared" si="26"/>
        <v>2.59494064791766</v>
      </c>
      <c r="AE54" s="73">
        <f t="shared" si="27"/>
        <v>1.796202094164092</v>
      </c>
      <c r="AF54" s="73">
        <f t="shared" si="28"/>
        <v>1.1532271307773314</v>
      </c>
      <c r="AG54" s="73">
        <f t="shared" si="29"/>
        <v>0.7140209629002996</v>
      </c>
      <c r="AH54" s="74">
        <f t="shared" si="30"/>
        <v>0.6170258090824285</v>
      </c>
      <c r="AI54" s="28"/>
      <c r="BX54"/>
    </row>
    <row r="55" spans="1:76" ht="16.5">
      <c r="A55" s="18">
        <v>15</v>
      </c>
      <c r="B55" s="4">
        <v>-0.7797235727397585</v>
      </c>
      <c r="C55" s="11">
        <v>228.70524440167958</v>
      </c>
      <c r="D55" s="4">
        <v>-0.6155142377819834</v>
      </c>
      <c r="E55" s="4">
        <f t="shared" si="2"/>
        <v>0.9933914771118129</v>
      </c>
      <c r="F55" s="83">
        <f t="shared" si="3"/>
        <v>1.4701363615173386</v>
      </c>
      <c r="G55" s="86">
        <f t="shared" si="4"/>
        <v>431.2142246555354</v>
      </c>
      <c r="H55" s="88">
        <f t="shared" si="5"/>
        <v>1.160526491222217</v>
      </c>
      <c r="I55" s="88">
        <f t="shared" si="6"/>
        <v>1.8729983070691734</v>
      </c>
      <c r="J55" s="57">
        <f t="shared" si="7"/>
        <v>0.2341342534856131</v>
      </c>
      <c r="K55" s="11">
        <f t="shared" si="8"/>
        <v>127.87901568534076</v>
      </c>
      <c r="L55" s="11">
        <f t="shared" si="9"/>
        <v>6521.139203321945</v>
      </c>
      <c r="M55" s="15">
        <f t="shared" si="10"/>
        <v>19.26804417066761</v>
      </c>
      <c r="N55" s="11">
        <f t="shared" si="11"/>
        <v>4379.21327229244</v>
      </c>
      <c r="O55" s="11">
        <f t="shared" si="12"/>
        <v>14393.916238939953</v>
      </c>
      <c r="P55" s="11">
        <f t="shared" si="13"/>
        <v>1.4072374601417252</v>
      </c>
      <c r="Q55" s="121">
        <f t="shared" si="14"/>
        <v>25442.82301187049</v>
      </c>
      <c r="R55" s="90">
        <f t="shared" si="15"/>
        <v>0.200715031640522</v>
      </c>
      <c r="S55" s="28"/>
      <c r="T55" s="79">
        <f t="shared" si="16"/>
        <v>0.4194545193785276</v>
      </c>
      <c r="U55" s="80">
        <f t="shared" si="17"/>
        <v>0.3230744024262513</v>
      </c>
      <c r="V55" s="80">
        <f t="shared" si="18"/>
        <v>0.2341342534856131</v>
      </c>
      <c r="W55" s="80">
        <f t="shared" si="19"/>
        <v>0.16512852958719593</v>
      </c>
      <c r="X55" s="81">
        <f t="shared" si="20"/>
        <v>0.14738662554035123</v>
      </c>
      <c r="Y55" s="165">
        <f t="shared" si="21"/>
        <v>20465.54144117017</v>
      </c>
      <c r="Z55" s="165">
        <f t="shared" si="22"/>
        <v>17231.580898229422</v>
      </c>
      <c r="AA55" s="165">
        <f t="shared" si="23"/>
        <v>13792.658706543945</v>
      </c>
      <c r="AB55" s="165">
        <f t="shared" si="24"/>
        <v>10682.291055629512</v>
      </c>
      <c r="AC55" s="165">
        <f t="shared" si="25"/>
        <v>9797.509093126726</v>
      </c>
      <c r="AD55" s="72">
        <f t="shared" si="26"/>
        <v>2.5776660889299197</v>
      </c>
      <c r="AE55" s="73">
        <f t="shared" si="27"/>
        <v>1.8092044038195485</v>
      </c>
      <c r="AF55" s="73">
        <f t="shared" si="28"/>
        <v>1.1933209659700734</v>
      </c>
      <c r="AG55" s="73">
        <f t="shared" si="29"/>
        <v>0.7771449271790947</v>
      </c>
      <c r="AH55" s="74">
        <f t="shared" si="30"/>
        <v>0.6788509148099897</v>
      </c>
      <c r="AI55" s="28"/>
      <c r="BX55"/>
    </row>
    <row r="56" spans="1:76" ht="16.5">
      <c r="A56" s="15">
        <v>15.673373548625944</v>
      </c>
      <c r="B56" s="4">
        <v>-0.7724384853461057</v>
      </c>
      <c r="C56" s="11">
        <v>221.49363573046517</v>
      </c>
      <c r="D56" s="4">
        <v>-0.6088285186356931</v>
      </c>
      <c r="E56" s="4">
        <f t="shared" si="2"/>
        <v>0.9835310766559023</v>
      </c>
      <c r="F56" s="83">
        <f t="shared" si="3"/>
        <v>1.4564006322811325</v>
      </c>
      <c r="G56" s="86">
        <f t="shared" si="4"/>
        <v>417.6170364939244</v>
      </c>
      <c r="H56" s="88">
        <f t="shared" si="5"/>
        <v>1.147920845883937</v>
      </c>
      <c r="I56" s="88">
        <f t="shared" si="6"/>
        <v>1.8544069321817624</v>
      </c>
      <c r="J56" s="57">
        <f t="shared" si="7"/>
        <v>0.2318102376741165</v>
      </c>
      <c r="K56" s="11">
        <f t="shared" si="8"/>
        <v>125.50058890794901</v>
      </c>
      <c r="L56" s="11">
        <f t="shared" si="9"/>
        <v>6365.968777104288</v>
      </c>
      <c r="M56" s="15">
        <f t="shared" si="10"/>
        <v>18.851738265138057</v>
      </c>
      <c r="N56" s="11">
        <f t="shared" si="11"/>
        <v>4295.887196103971</v>
      </c>
      <c r="O56" s="11">
        <f t="shared" si="12"/>
        <v>14254.097504726704</v>
      </c>
      <c r="P56" s="11">
        <f t="shared" si="13"/>
        <v>1.3791721055465795</v>
      </c>
      <c r="Q56" s="121">
        <f t="shared" si="14"/>
        <v>25061.684977213597</v>
      </c>
      <c r="R56" s="90">
        <f>Q56*J$29*(A56-A55)</f>
        <v>0.13313152919670593</v>
      </c>
      <c r="S56" s="28"/>
      <c r="T56" s="79">
        <f t="shared" si="16"/>
        <v>0.41109380138943286</v>
      </c>
      <c r="U56" s="80">
        <f t="shared" si="17"/>
        <v>0.3178783310727777</v>
      </c>
      <c r="V56" s="80">
        <f t="shared" si="18"/>
        <v>0.2318102376741165</v>
      </c>
      <c r="W56" s="80">
        <f t="shared" si="19"/>
        <v>0.16451799997435618</v>
      </c>
      <c r="X56" s="81">
        <f t="shared" si="20"/>
        <v>0.1450420333582997</v>
      </c>
      <c r="Y56" s="165">
        <f t="shared" si="21"/>
        <v>20200.960912118033</v>
      </c>
      <c r="Z56" s="165">
        <f t="shared" si="22"/>
        <v>17044.36544514116</v>
      </c>
      <c r="AA56" s="165">
        <f t="shared" si="23"/>
        <v>13695.178107519157</v>
      </c>
      <c r="AB56" s="165">
        <f t="shared" si="24"/>
        <v>10652.505863280181</v>
      </c>
      <c r="AC56" s="165">
        <f t="shared" si="25"/>
        <v>9677.477195574986</v>
      </c>
      <c r="AD56" s="72">
        <f t="shared" si="26"/>
        <v>2.5068403302303017</v>
      </c>
      <c r="AE56" s="73">
        <f t="shared" si="27"/>
        <v>1.7707611661658025</v>
      </c>
      <c r="AF56" s="73">
        <f t="shared" si="28"/>
        <v>1.1784279241476219</v>
      </c>
      <c r="AG56" s="73">
        <f t="shared" si="29"/>
        <v>0.773703281865481</v>
      </c>
      <c r="AH56" s="74">
        <f t="shared" si="30"/>
        <v>0.6661278253236917</v>
      </c>
      <c r="AI56" s="28"/>
      <c r="BX56"/>
    </row>
    <row r="57" spans="2:76" ht="6" customHeight="1">
      <c r="B57" s="4"/>
      <c r="D57" s="4"/>
      <c r="E57" s="4"/>
      <c r="F57" s="83"/>
      <c r="G57" s="86"/>
      <c r="H57" s="88"/>
      <c r="I57" s="88"/>
      <c r="J57" s="57"/>
      <c r="L57" s="11"/>
      <c r="M57" s="15"/>
      <c r="N57" s="11"/>
      <c r="O57" s="11"/>
      <c r="P57" s="11"/>
      <c r="Q57" s="121"/>
      <c r="R57" s="90"/>
      <c r="S57" s="28"/>
      <c r="T57" s="79"/>
      <c r="U57" s="80"/>
      <c r="V57" s="80"/>
      <c r="W57" s="80"/>
      <c r="X57" s="81"/>
      <c r="Y57" s="165"/>
      <c r="Z57" s="165"/>
      <c r="AA57" s="165"/>
      <c r="AB57" s="165"/>
      <c r="AC57" s="165"/>
      <c r="AD57" s="64"/>
      <c r="AE57" s="65"/>
      <c r="AF57" s="65"/>
      <c r="AG57" s="65"/>
      <c r="AH57" s="66"/>
      <c r="AI57" s="28"/>
      <c r="BX57"/>
    </row>
    <row r="58" spans="1:76" ht="16.5">
      <c r="A58" s="15">
        <f>I25</f>
        <v>17.081863443783423</v>
      </c>
      <c r="B58" s="4">
        <v>-0.7697157603408762</v>
      </c>
      <c r="C58" s="11">
        <v>221.1340494294688</v>
      </c>
      <c r="D58" s="4">
        <v>-0.471884695094082</v>
      </c>
      <c r="E58" s="4">
        <f aca="true" t="shared" si="31" ref="E58:E77">SQRT(B58^2+D58^2)</f>
        <v>0.9028496647732489</v>
      </c>
      <c r="F58" s="83">
        <f aca="true" t="shared" si="32" ref="F58:F77">-B58*$E$29*(1-$E$33)/$E$30/$E$34</f>
        <v>1.4512670475434855</v>
      </c>
      <c r="G58" s="86">
        <f aca="true" t="shared" si="33" ref="G58:G77">C58*$E$29*(1-$E$33)/$E$30/$E$34</f>
        <v>416.9390514814401</v>
      </c>
      <c r="H58" s="88">
        <f aca="true" t="shared" si="34" ref="H58:H77">-D58*$E$29*(1-$E$33)/$E$30/$E$34</f>
        <v>0.8897189631752664</v>
      </c>
      <c r="I58" s="88">
        <f aca="true" t="shared" si="35" ref="I58:I77">E58*$E$29*(1-$E$33)/$E$30/$E$34</f>
        <v>1.70228548625642</v>
      </c>
      <c r="J58" s="57">
        <f aca="true" t="shared" si="36" ref="J58:J77">E58*E$29/E$30</f>
        <v>0.2127942881954357</v>
      </c>
      <c r="K58" s="11">
        <f aca="true" t="shared" si="37" ref="K58:K77">L$33*E$14/120*F58^2/E$8*E$7*E$10*(E$10-1)*E$5/E$6</f>
        <v>124.61740824782203</v>
      </c>
      <c r="L58" s="11">
        <f aca="true" t="shared" si="38" ref="L58:L77">L$34*E$14/6*F58^2/E$9*E$7*E$5/E$6*(1+(G58*E$5/F58)^2/15)</f>
        <v>6323.942690424484</v>
      </c>
      <c r="M58" s="15">
        <f aca="true" t="shared" si="39" ref="M58:M77">L$35*E$14/8*H58^2/E$9*E$7*E$6/E$5</f>
        <v>11.324869608957568</v>
      </c>
      <c r="N58" s="11">
        <f aca="true" t="shared" si="40" ref="N58:N77">E$14*E$15*(E$12/E$11)^2*J58*(1-E$33)/E$34^2*(E$20/2/PI())^2/E$19*LN((E$18+E$19*J58)/(E$18+E$19*E$33*J58))</f>
        <v>3642.1059255296145</v>
      </c>
      <c r="O58" s="11">
        <f aca="true" t="shared" si="41" ref="O58:O77">(Y58+Z58+AA58+AB58+AC58)/5</f>
        <v>13298.162147836038</v>
      </c>
      <c r="P58" s="11">
        <f aca="true" t="shared" si="42" ref="P58:P77">(AD58+AE58+AF58+AG58+AH58)/5</f>
        <v>1.2530073988927597</v>
      </c>
      <c r="Q58" s="121">
        <f aca="true" t="shared" si="43" ref="Q58:Q77">SUM(K58:P58)</f>
        <v>23401.40604904581</v>
      </c>
      <c r="R58" s="90">
        <f>Q58*J$29*(A59-A58)</f>
        <v>0.16949770926179877</v>
      </c>
      <c r="S58" s="28"/>
      <c r="T58" s="79">
        <f aca="true" t="shared" si="44" ref="T58:T77">SQRT(($B58-$C58*0.8*$E$5)^2+$D58^2)*$E$29/$E$30</f>
        <v>0.4000364435436233</v>
      </c>
      <c r="U58" s="80">
        <f aca="true" t="shared" si="45" ref="U58:U77">SQRT(($B58-$C58*0.4*$E$5)^2+$D58^2)*$E$29/$E$30</f>
        <v>0.303921615658648</v>
      </c>
      <c r="V58" s="80">
        <f aca="true" t="shared" si="46" ref="V58:V77">SQRT(($B58)^2+$D58^2)*$E$29/$E$30</f>
        <v>0.2127942881954357</v>
      </c>
      <c r="W58" s="80">
        <f aca="true" t="shared" si="47" ref="W58:W77">SQRT(($B58+$C58*0.4*$E$5)^2+$D58^2)*$E$29/$E$30</f>
        <v>0.1369975840485812</v>
      </c>
      <c r="X58" s="81">
        <f aca="true" t="shared" si="48" ref="X58:X77">SQRT(($B58+$C58*0.8*$E$5)^2+$D58^2)*$E$29/$E$30</f>
        <v>0.11326577287159942</v>
      </c>
      <c r="Y58" s="165">
        <f aca="true" t="shared" si="49" ref="Y58:Y77">$L$36*$E$14*$E$15*$E$17/$E$34*2/3*$E$21/PI()*($E$22*$E$23*LN((T58+$E$23)/($E$33*T58+$E$23))+$E$24*T58*(1-$E$33)+$E$25*T58^2/2*(1-$E$33^2))</f>
        <v>19846.810633771885</v>
      </c>
      <c r="Z58" s="165">
        <f aca="true" t="shared" si="50" ref="Z58:Z77">$L$36*$E$14*$E$15*$E$17/$E$34*2/3*$E$21/PI()*($E$22*$E$23*LN((U58+$E$23)/($E$33*U58+$E$23))+$E$24*U58*(1-$E$33)+$E$25*U58^2/2*(1-$E$33^2))</f>
        <v>16533.940241188346</v>
      </c>
      <c r="AA58" s="165">
        <f aca="true" t="shared" si="51" ref="AA58:AA77">$L$36*$E$14*$E$15*$E$17/$E$34*2/3*$E$21/PI()*($E$22*$E$23*LN((V58+$E$23)/($E$33*V58+$E$23))+$E$24*V58*(1-$E$33)+$E$25*V58^2/2*(1-$E$33^2))</f>
        <v>12880.164489769648</v>
      </c>
      <c r="AB58" s="165">
        <f aca="true" t="shared" si="52" ref="AB58:AB77">$L$36*$E$14*$E$15*$E$17/$E$34*2/3*$E$21/PI()*($E$22*$E$23*LN((W58+$E$23)/($E$33*W58+$E$23))+$E$24*W58*(1-$E$33)+$E$25*W58^2/2*(1-$E$33^2))</f>
        <v>9259.771272686867</v>
      </c>
      <c r="AC58" s="165">
        <f aca="true" t="shared" si="53" ref="AC58:AC77">$L$36*$E$14*$E$15*$E$17/$E$34*2/3*$E$21/PI()*($E$22*$E$23*LN((X58+$E$23)/($E$33*X58+$E$23))+$E$24*X58*(1-$E$33)+$E$25*X58^2/2*(1-$E$33^2))</f>
        <v>7970.124101763446</v>
      </c>
      <c r="AD58" s="72">
        <f aca="true" t="shared" si="54" ref="AD58:AD77">1/9/PI()*$E$21/$E$34*$E$28^2*T58*(3*T58+4*$E$27)/($E$26*$E$27*$E$14*$E$15*$E$17*16*$E$5^2*$E$6^2)</f>
        <v>2.414385498127259</v>
      </c>
      <c r="AE58" s="73">
        <f aca="true" t="shared" si="55" ref="AE58:AE77">1/9/PI()*$E$21/$E$34*$E$28^2*U58*(3*U58+4*$E$27)/($E$26*$E$27*$E$14*$E$15*$E$17*16*$E$5^2*$E$6^2)</f>
        <v>1.669014570383094</v>
      </c>
      <c r="AF58" s="73">
        <f aca="true" t="shared" si="56" ref="AF58:AF77">1/9/PI()*$E$21/$E$34*$E$28^2*V58*(3*V58+4*$E$27)/($E$26*$E$27*$E$14*$E$15*$E$17*16*$E$5^2*$E$6^2)</f>
        <v>1.058863612997411</v>
      </c>
      <c r="AG58" s="73">
        <f aca="true" t="shared" si="57" ref="AG58:AG77">1/9/PI()*$E$21/$E$34*$E$28^2*W58*(3*W58+4*$E$27)/($E$26*$E$27*$E$14*$E$15*$E$17*16*$E$5^2*$E$6^2)</f>
        <v>0.6229469350968432</v>
      </c>
      <c r="AH58" s="74">
        <f aca="true" t="shared" si="58" ref="AH58:AH77">1/9/PI()*$E$21/$E$34*$E$28^2*X58*(3*X58+4*$E$27)/($E$26*$E$27*$E$14*$E$15*$E$17*16*$E$5^2*$E$6^2)</f>
        <v>0.4998263778591912</v>
      </c>
      <c r="AI58" s="28"/>
      <c r="BX58"/>
    </row>
    <row r="59" spans="1:76" ht="16.5">
      <c r="A59" s="18">
        <v>18</v>
      </c>
      <c r="B59" s="4">
        <v>-0.7688376834784396</v>
      </c>
      <c r="C59" s="11">
        <v>227.4487999096361</v>
      </c>
      <c r="D59" s="4">
        <v>-0.4725847095030641</v>
      </c>
      <c r="E59" s="4">
        <f t="shared" si="31"/>
        <v>0.9024675568642835</v>
      </c>
      <c r="F59" s="83">
        <f t="shared" si="32"/>
        <v>1.4496114701455378</v>
      </c>
      <c r="G59" s="86">
        <f t="shared" si="33"/>
        <v>428.8452508312723</v>
      </c>
      <c r="H59" s="88">
        <f t="shared" si="34"/>
        <v>0.8910388112242547</v>
      </c>
      <c r="I59" s="88">
        <f t="shared" si="35"/>
        <v>1.7015650376889622</v>
      </c>
      <c r="J59" s="57">
        <f t="shared" si="36"/>
        <v>0.21270422848375314</v>
      </c>
      <c r="K59" s="11">
        <f t="shared" si="37"/>
        <v>124.33324816101032</v>
      </c>
      <c r="L59" s="11">
        <f t="shared" si="38"/>
        <v>6353.395686686155</v>
      </c>
      <c r="M59" s="15">
        <f t="shared" si="39"/>
        <v>11.358494144960337</v>
      </c>
      <c r="N59" s="11">
        <f t="shared" si="40"/>
        <v>3639.129214236801</v>
      </c>
      <c r="O59" s="11">
        <f t="shared" si="41"/>
        <v>13349.961401399287</v>
      </c>
      <c r="P59" s="11">
        <f t="shared" si="42"/>
        <v>1.265329319258305</v>
      </c>
      <c r="Q59" s="121">
        <f t="shared" si="43"/>
        <v>23479.443373947473</v>
      </c>
      <c r="R59" s="90">
        <f aca="true" t="shared" si="59" ref="R59:R76">Q59*J$29</f>
        <v>0.18522619197975737</v>
      </c>
      <c r="S59" s="28"/>
      <c r="T59" s="79">
        <f t="shared" si="44"/>
        <v>0.40545013907436067</v>
      </c>
      <c r="U59" s="80">
        <f t="shared" si="45"/>
        <v>0.30648591748015264</v>
      </c>
      <c r="V59" s="80">
        <f t="shared" si="46"/>
        <v>0.21270422848375314</v>
      </c>
      <c r="W59" s="80">
        <f t="shared" si="47"/>
        <v>0.13534485169030883</v>
      </c>
      <c r="X59" s="81">
        <f t="shared" si="48"/>
        <v>0.1147128493511514</v>
      </c>
      <c r="Y59" s="165">
        <f t="shared" si="49"/>
        <v>20020.815064559887</v>
      </c>
      <c r="Z59" s="165">
        <f t="shared" si="50"/>
        <v>16628.56779501549</v>
      </c>
      <c r="AA59" s="165">
        <f t="shared" si="51"/>
        <v>12876.227997046932</v>
      </c>
      <c r="AB59" s="165">
        <f t="shared" si="52"/>
        <v>9172.796909359446</v>
      </c>
      <c r="AC59" s="165">
        <f t="shared" si="53"/>
        <v>8051.399241014676</v>
      </c>
      <c r="AD59" s="72">
        <f t="shared" si="54"/>
        <v>2.4594786242185336</v>
      </c>
      <c r="AE59" s="73">
        <f t="shared" si="55"/>
        <v>1.6875434332405264</v>
      </c>
      <c r="AF59" s="73">
        <f t="shared" si="56"/>
        <v>1.0583070909490913</v>
      </c>
      <c r="AG59" s="73">
        <f t="shared" si="57"/>
        <v>0.6141660998801866</v>
      </c>
      <c r="AH59" s="74">
        <f t="shared" si="58"/>
        <v>0.5071513480031885</v>
      </c>
      <c r="AI59" s="28"/>
      <c r="BX59"/>
    </row>
    <row r="60" spans="1:76" ht="16.5">
      <c r="A60" s="18">
        <v>19</v>
      </c>
      <c r="B60" s="4">
        <v>-0.7670354695833996</v>
      </c>
      <c r="C60" s="11">
        <v>231.74178888809186</v>
      </c>
      <c r="D60" s="4">
        <v>-0.5261554631417936</v>
      </c>
      <c r="E60" s="4">
        <f t="shared" si="31"/>
        <v>0.9301521289514859</v>
      </c>
      <c r="F60" s="83">
        <f t="shared" si="32"/>
        <v>1.4462134708148</v>
      </c>
      <c r="G60" s="86">
        <f t="shared" si="33"/>
        <v>436.9395029707129</v>
      </c>
      <c r="H60" s="88">
        <f t="shared" si="34"/>
        <v>0.9920442387778337</v>
      </c>
      <c r="I60" s="88">
        <f t="shared" si="35"/>
        <v>1.7537631467386015</v>
      </c>
      <c r="J60" s="57">
        <f t="shared" si="36"/>
        <v>0.21922925589545522</v>
      </c>
      <c r="K60" s="11">
        <f t="shared" si="37"/>
        <v>123.75103818943977</v>
      </c>
      <c r="L60" s="11">
        <f t="shared" si="38"/>
        <v>6356.630337759381</v>
      </c>
      <c r="M60" s="15">
        <f t="shared" si="39"/>
        <v>14.079576598058571</v>
      </c>
      <c r="N60" s="11">
        <f t="shared" si="40"/>
        <v>3857.728381576849</v>
      </c>
      <c r="O60" s="11">
        <f t="shared" si="41"/>
        <v>13740.185747014528</v>
      </c>
      <c r="P60" s="11">
        <f t="shared" si="42"/>
        <v>1.3179401919900247</v>
      </c>
      <c r="Q60" s="121">
        <f t="shared" si="43"/>
        <v>24093.693021330248</v>
      </c>
      <c r="R60" s="90">
        <f t="shared" si="59"/>
        <v>0.1900719253856806</v>
      </c>
      <c r="S60" s="28"/>
      <c r="T60" s="79">
        <f t="shared" si="44"/>
        <v>0.4124482745808111</v>
      </c>
      <c r="U60" s="80">
        <f t="shared" si="45"/>
        <v>0.31271391839152834</v>
      </c>
      <c r="V60" s="80">
        <f t="shared" si="46"/>
        <v>0.21922925589545522</v>
      </c>
      <c r="W60" s="80">
        <f t="shared" si="47"/>
        <v>0.14466511279075786</v>
      </c>
      <c r="X60" s="81">
        <f t="shared" si="48"/>
        <v>0.1280217927176721</v>
      </c>
      <c r="Y60" s="165">
        <f t="shared" si="49"/>
        <v>20244.00855203467</v>
      </c>
      <c r="Z60" s="165">
        <f t="shared" si="50"/>
        <v>16856.795683014287</v>
      </c>
      <c r="AA60" s="165">
        <f t="shared" si="51"/>
        <v>13159.525092293448</v>
      </c>
      <c r="AB60" s="165">
        <f t="shared" si="52"/>
        <v>9658.109878079411</v>
      </c>
      <c r="AC60" s="165">
        <f t="shared" si="53"/>
        <v>8782.489529650813</v>
      </c>
      <c r="AD60" s="72">
        <f t="shared" si="54"/>
        <v>2.5182607223441447</v>
      </c>
      <c r="AE60" s="73">
        <f t="shared" si="55"/>
        <v>1.7328548921172588</v>
      </c>
      <c r="AF60" s="73">
        <f t="shared" si="56"/>
        <v>1.0988659276138772</v>
      </c>
      <c r="AG60" s="73">
        <f t="shared" si="57"/>
        <v>0.6640882440909492</v>
      </c>
      <c r="AH60" s="74">
        <f t="shared" si="58"/>
        <v>0.5756311737838933</v>
      </c>
      <c r="AI60" s="28"/>
      <c r="BX60"/>
    </row>
    <row r="61" spans="1:76" ht="16.5">
      <c r="A61" s="18">
        <v>20</v>
      </c>
      <c r="B61" s="4">
        <v>-0.7645686420397677</v>
      </c>
      <c r="C61" s="11">
        <v>234.49299316708385</v>
      </c>
      <c r="D61" s="4">
        <v>-0.5768430116951416</v>
      </c>
      <c r="E61" s="4">
        <f t="shared" si="31"/>
        <v>0.9577646206307977</v>
      </c>
      <c r="F61" s="83">
        <f t="shared" si="32"/>
        <v>1.4415623700961917</v>
      </c>
      <c r="G61" s="86">
        <f t="shared" si="33"/>
        <v>442.1267841943603</v>
      </c>
      <c r="H61" s="88">
        <f t="shared" si="34"/>
        <v>1.0876135030782779</v>
      </c>
      <c r="I61" s="88">
        <f t="shared" si="35"/>
        <v>1.8058253511775584</v>
      </c>
      <c r="J61" s="57">
        <f t="shared" si="36"/>
        <v>0.22573729454403493</v>
      </c>
      <c r="K61" s="11">
        <f t="shared" si="37"/>
        <v>122.9563380868742</v>
      </c>
      <c r="L61" s="11">
        <f t="shared" si="38"/>
        <v>6340.063160169999</v>
      </c>
      <c r="M61" s="15">
        <f t="shared" si="39"/>
        <v>16.92297441840688</v>
      </c>
      <c r="N61" s="11">
        <f t="shared" si="40"/>
        <v>4081.653417567239</v>
      </c>
      <c r="O61" s="11">
        <f t="shared" si="41"/>
        <v>14098.495117550794</v>
      </c>
      <c r="P61" s="11">
        <f t="shared" si="42"/>
        <v>1.3671498880443889</v>
      </c>
      <c r="Q61" s="121">
        <f t="shared" si="43"/>
        <v>24661.458157681358</v>
      </c>
      <c r="R61" s="90">
        <f t="shared" si="59"/>
        <v>0.1945509486942942</v>
      </c>
      <c r="S61" s="28"/>
      <c r="T61" s="79">
        <f t="shared" si="44"/>
        <v>0.4180324818198632</v>
      </c>
      <c r="U61" s="80">
        <f t="shared" si="45"/>
        <v>0.3182559903308451</v>
      </c>
      <c r="V61" s="80">
        <f t="shared" si="46"/>
        <v>0.22573729454403493</v>
      </c>
      <c r="W61" s="80">
        <f t="shared" si="47"/>
        <v>0.15415092655010038</v>
      </c>
      <c r="X61" s="81">
        <f t="shared" si="48"/>
        <v>0.14036531411302858</v>
      </c>
      <c r="Y61" s="165">
        <f t="shared" si="49"/>
        <v>20420.730657903914</v>
      </c>
      <c r="Z61" s="165">
        <f t="shared" si="50"/>
        <v>17058.02303373209</v>
      </c>
      <c r="AA61" s="165">
        <f t="shared" si="51"/>
        <v>13438.313093802415</v>
      </c>
      <c r="AB61" s="165">
        <f t="shared" si="52"/>
        <v>10139.645383802872</v>
      </c>
      <c r="AC61" s="165">
        <f t="shared" si="53"/>
        <v>9435.763418512675</v>
      </c>
      <c r="AD61" s="72">
        <f t="shared" si="54"/>
        <v>2.565563820844898</v>
      </c>
      <c r="AE61" s="73">
        <f t="shared" si="55"/>
        <v>1.7735449897498132</v>
      </c>
      <c r="AF61" s="73">
        <f t="shared" si="56"/>
        <v>1.1397990744963693</v>
      </c>
      <c r="AG61" s="73">
        <f t="shared" si="57"/>
        <v>0.7159064756641799</v>
      </c>
      <c r="AH61" s="74">
        <f t="shared" si="58"/>
        <v>0.6409350794666843</v>
      </c>
      <c r="AI61" s="28"/>
      <c r="BX61"/>
    </row>
    <row r="62" spans="1:76" ht="16.5">
      <c r="A62" s="18">
        <v>21</v>
      </c>
      <c r="B62" s="4">
        <v>-0.7616067160810989</v>
      </c>
      <c r="C62" s="11">
        <v>236.30574107714503</v>
      </c>
      <c r="D62" s="4">
        <v>-0.62632377474028</v>
      </c>
      <c r="E62" s="4">
        <f t="shared" si="31"/>
        <v>0.986066052952209</v>
      </c>
      <c r="F62" s="83">
        <f t="shared" si="32"/>
        <v>1.4359777819110984</v>
      </c>
      <c r="G62" s="86">
        <f t="shared" si="33"/>
        <v>445.5446449722272</v>
      </c>
      <c r="H62" s="88">
        <f t="shared" si="34"/>
        <v>1.180907423502767</v>
      </c>
      <c r="I62" s="88">
        <f t="shared" si="35"/>
        <v>1.859186524538692</v>
      </c>
      <c r="J62" s="57">
        <f t="shared" si="36"/>
        <v>0.2324077108721603</v>
      </c>
      <c r="K62" s="11">
        <f t="shared" si="37"/>
        <v>122.00552184529468</v>
      </c>
      <c r="L62" s="11">
        <f t="shared" si="38"/>
        <v>6310.089678079196</v>
      </c>
      <c r="M62" s="15">
        <f t="shared" si="39"/>
        <v>19.950749773185954</v>
      </c>
      <c r="N62" s="11">
        <f t="shared" si="40"/>
        <v>4317.238396220924</v>
      </c>
      <c r="O62" s="11">
        <f t="shared" si="41"/>
        <v>14441.101541768701</v>
      </c>
      <c r="P62" s="11">
        <f t="shared" si="42"/>
        <v>1.4154235086153573</v>
      </c>
      <c r="Q62" s="121">
        <f t="shared" si="43"/>
        <v>25211.80131119592</v>
      </c>
      <c r="R62" s="90">
        <f t="shared" si="59"/>
        <v>0.19889253230784537</v>
      </c>
      <c r="S62" s="28"/>
      <c r="T62" s="79">
        <f t="shared" si="44"/>
        <v>0.4228734600998563</v>
      </c>
      <c r="U62" s="80">
        <f t="shared" si="45"/>
        <v>0.3235285980379</v>
      </c>
      <c r="V62" s="80">
        <f t="shared" si="46"/>
        <v>0.2324077108721603</v>
      </c>
      <c r="W62" s="80">
        <f t="shared" si="47"/>
        <v>0.1638588851122531</v>
      </c>
      <c r="X62" s="81">
        <f t="shared" si="48"/>
        <v>0.15224954587961098</v>
      </c>
      <c r="Y62" s="165">
        <f t="shared" si="49"/>
        <v>20572.96258208261</v>
      </c>
      <c r="Z62" s="165">
        <f t="shared" si="50"/>
        <v>17247.87501658975</v>
      </c>
      <c r="AA62" s="165">
        <f t="shared" si="51"/>
        <v>13720.281772772982</v>
      </c>
      <c r="AB62" s="165">
        <f t="shared" si="52"/>
        <v>10620.299302980267</v>
      </c>
      <c r="AC62" s="165">
        <f t="shared" si="53"/>
        <v>10044.089034417893</v>
      </c>
      <c r="AD62" s="72">
        <f t="shared" si="54"/>
        <v>2.6068566716513555</v>
      </c>
      <c r="AE62" s="73">
        <f t="shared" si="55"/>
        <v>1.8125792994143881</v>
      </c>
      <c r="AF62" s="73">
        <f t="shared" si="56"/>
        <v>1.1822508882400666</v>
      </c>
      <c r="AG62" s="73">
        <f t="shared" si="57"/>
        <v>0.7699924892042078</v>
      </c>
      <c r="AH62" s="74">
        <f t="shared" si="58"/>
        <v>0.705438194566769</v>
      </c>
      <c r="AI62" s="28"/>
      <c r="BX62"/>
    </row>
    <row r="63" spans="1:76" ht="16.5">
      <c r="A63" s="18">
        <v>22</v>
      </c>
      <c r="B63" s="4">
        <v>-0.7579205845403099</v>
      </c>
      <c r="C63" s="11">
        <v>237.4021344915991</v>
      </c>
      <c r="D63" s="4">
        <v>-0.6748782498644672</v>
      </c>
      <c r="E63" s="4">
        <f t="shared" si="31"/>
        <v>1.0148419899718633</v>
      </c>
      <c r="F63" s="83">
        <f t="shared" si="32"/>
        <v>1.4290277342263675</v>
      </c>
      <c r="G63" s="86">
        <f t="shared" si="33"/>
        <v>447.6118491474882</v>
      </c>
      <c r="H63" s="88">
        <f t="shared" si="34"/>
        <v>1.2724548665839588</v>
      </c>
      <c r="I63" s="88">
        <f t="shared" si="35"/>
        <v>1.913442356769952</v>
      </c>
      <c r="J63" s="57">
        <f t="shared" si="36"/>
        <v>0.23918996408016469</v>
      </c>
      <c r="K63" s="11">
        <f t="shared" si="37"/>
        <v>120.82738078300093</v>
      </c>
      <c r="L63" s="11">
        <f t="shared" si="38"/>
        <v>6264.931273137199</v>
      </c>
      <c r="M63" s="15">
        <f t="shared" si="39"/>
        <v>23.16393247872452</v>
      </c>
      <c r="N63" s="11">
        <f t="shared" si="40"/>
        <v>4563.038428374075</v>
      </c>
      <c r="O63" s="11">
        <f t="shared" si="41"/>
        <v>14770.129655628301</v>
      </c>
      <c r="P63" s="11">
        <f t="shared" si="42"/>
        <v>1.4630324882271326</v>
      </c>
      <c r="Q63" s="121">
        <f t="shared" si="43"/>
        <v>25743.55370288953</v>
      </c>
      <c r="R63" s="90">
        <f t="shared" si="59"/>
        <v>0.20308745588507227</v>
      </c>
      <c r="S63" s="28"/>
      <c r="T63" s="79">
        <f t="shared" si="44"/>
        <v>0.42713014404689376</v>
      </c>
      <c r="U63" s="80">
        <f t="shared" si="45"/>
        <v>0.3285876472055857</v>
      </c>
      <c r="V63" s="80">
        <f t="shared" si="46"/>
        <v>0.23918996408016469</v>
      </c>
      <c r="W63" s="80">
        <f t="shared" si="47"/>
        <v>0.1736840551554008</v>
      </c>
      <c r="X63" s="81">
        <f t="shared" si="48"/>
        <v>0.1638071371820043</v>
      </c>
      <c r="Y63" s="165">
        <f t="shared" si="49"/>
        <v>20706.088812133097</v>
      </c>
      <c r="Z63" s="165">
        <f t="shared" si="50"/>
        <v>17428.61023137699</v>
      </c>
      <c r="AA63" s="165">
        <f t="shared" si="51"/>
        <v>14003.192786000121</v>
      </c>
      <c r="AB63" s="165">
        <f t="shared" si="52"/>
        <v>11094.987975217378</v>
      </c>
      <c r="AC63" s="165">
        <f t="shared" si="53"/>
        <v>10617.768473413926</v>
      </c>
      <c r="AD63" s="72">
        <f t="shared" si="54"/>
        <v>2.6433846868188335</v>
      </c>
      <c r="AE63" s="73">
        <f t="shared" si="55"/>
        <v>1.8503283215754307</v>
      </c>
      <c r="AF63" s="73">
        <f t="shared" si="56"/>
        <v>1.2259306866628552</v>
      </c>
      <c r="AG63" s="73">
        <f t="shared" si="57"/>
        <v>0.825817387702764</v>
      </c>
      <c r="AH63" s="74">
        <f t="shared" si="58"/>
        <v>0.7697013583757796</v>
      </c>
      <c r="AI63" s="28"/>
      <c r="BX63"/>
    </row>
    <row r="64" spans="1:76" ht="16.5">
      <c r="A64" s="18">
        <v>23</v>
      </c>
      <c r="B64" s="4">
        <v>-0.7536309780371777</v>
      </c>
      <c r="C64" s="11">
        <v>237.89539745988625</v>
      </c>
      <c r="D64" s="4">
        <v>-0.7229495947682708</v>
      </c>
      <c r="E64" s="4">
        <f t="shared" si="31"/>
        <v>1.044325508466053</v>
      </c>
      <c r="F64" s="83">
        <f t="shared" si="32"/>
        <v>1.4209398596034462</v>
      </c>
      <c r="G64" s="86">
        <f t="shared" si="33"/>
        <v>448.5418759554772</v>
      </c>
      <c r="H64" s="88">
        <f t="shared" si="34"/>
        <v>1.3630913877318327</v>
      </c>
      <c r="I64" s="88">
        <f t="shared" si="35"/>
        <v>1.9690323044375262</v>
      </c>
      <c r="J64" s="57">
        <f t="shared" si="36"/>
        <v>0.2461389884595931</v>
      </c>
      <c r="K64" s="11">
        <f t="shared" si="37"/>
        <v>119.46355662762355</v>
      </c>
      <c r="L64" s="11">
        <f t="shared" si="38"/>
        <v>6207.189985036499</v>
      </c>
      <c r="M64" s="15">
        <f t="shared" si="39"/>
        <v>26.581376321010897</v>
      </c>
      <c r="N64" s="11">
        <f t="shared" si="40"/>
        <v>4821.394528790203</v>
      </c>
      <c r="O64" s="11">
        <f t="shared" si="41"/>
        <v>15089.935569158075</v>
      </c>
      <c r="P64" s="11">
        <f t="shared" si="42"/>
        <v>1.510633564258605</v>
      </c>
      <c r="Q64" s="121">
        <f t="shared" si="43"/>
        <v>26266.07564949767</v>
      </c>
      <c r="R64" s="90">
        <f t="shared" si="59"/>
        <v>0.2072095617141852</v>
      </c>
      <c r="S64" s="28"/>
      <c r="T64" s="79">
        <f t="shared" si="44"/>
        <v>0.4309644959305212</v>
      </c>
      <c r="U64" s="80">
        <f t="shared" si="45"/>
        <v>0.3335444830043981</v>
      </c>
      <c r="V64" s="80">
        <f t="shared" si="46"/>
        <v>0.2461389884595931</v>
      </c>
      <c r="W64" s="80">
        <f t="shared" si="47"/>
        <v>0.1836513959771877</v>
      </c>
      <c r="X64" s="81">
        <f t="shared" si="48"/>
        <v>0.1751634178589967</v>
      </c>
      <c r="Y64" s="165">
        <f t="shared" si="49"/>
        <v>20825.428993325153</v>
      </c>
      <c r="Z64" s="165">
        <f t="shared" si="50"/>
        <v>17604.366285502256</v>
      </c>
      <c r="AA64" s="165">
        <f t="shared" si="51"/>
        <v>14289.236810990478</v>
      </c>
      <c r="AB64" s="165">
        <f t="shared" si="52"/>
        <v>11565.16585134368</v>
      </c>
      <c r="AC64" s="165">
        <f t="shared" si="53"/>
        <v>11165.479904628797</v>
      </c>
      <c r="AD64" s="72">
        <f t="shared" si="54"/>
        <v>2.6764640639611503</v>
      </c>
      <c r="AE64" s="73">
        <f t="shared" si="55"/>
        <v>1.8875955635921853</v>
      </c>
      <c r="AF64" s="73">
        <f t="shared" si="56"/>
        <v>1.2712244240564803</v>
      </c>
      <c r="AG64" s="73">
        <f t="shared" si="57"/>
        <v>0.8835662800218184</v>
      </c>
      <c r="AH64" s="74">
        <f t="shared" si="58"/>
        <v>0.8343174896613912</v>
      </c>
      <c r="AI64" s="28"/>
      <c r="BX64"/>
    </row>
    <row r="65" spans="1:76" ht="16.5">
      <c r="A65" s="18">
        <v>24</v>
      </c>
      <c r="B65" s="4">
        <v>-0.7488749448917655</v>
      </c>
      <c r="C65" s="11">
        <v>237.88242897712766</v>
      </c>
      <c r="D65" s="4">
        <v>-0.770882918956559</v>
      </c>
      <c r="E65" s="4">
        <f t="shared" si="31"/>
        <v>1.074743763799367</v>
      </c>
      <c r="F65" s="83">
        <f t="shared" si="32"/>
        <v>1.4119725569488861</v>
      </c>
      <c r="G65" s="86">
        <f t="shared" si="33"/>
        <v>448.51742442069786</v>
      </c>
      <c r="H65" s="88">
        <f t="shared" si="34"/>
        <v>1.4534676765619778</v>
      </c>
      <c r="I65" s="88">
        <f t="shared" si="35"/>
        <v>2.0263846595321557</v>
      </c>
      <c r="J65" s="57">
        <f t="shared" si="36"/>
        <v>0.25330832267363995</v>
      </c>
      <c r="K65" s="11">
        <f t="shared" si="37"/>
        <v>117.96048726745121</v>
      </c>
      <c r="L65" s="11">
        <f t="shared" si="38"/>
        <v>6139.61108993253</v>
      </c>
      <c r="M65" s="15">
        <f t="shared" si="39"/>
        <v>30.22304879015889</v>
      </c>
      <c r="N65" s="11">
        <f t="shared" si="40"/>
        <v>5094.806120244734</v>
      </c>
      <c r="O65" s="11">
        <f t="shared" si="41"/>
        <v>15404.214203583473</v>
      </c>
      <c r="P65" s="11">
        <f t="shared" si="42"/>
        <v>1.558851500649629</v>
      </c>
      <c r="Q65" s="121">
        <f t="shared" si="43"/>
        <v>26788.373801318998</v>
      </c>
      <c r="R65" s="90">
        <f t="shared" si="59"/>
        <v>0.21132990205612343</v>
      </c>
      <c r="S65" s="28"/>
      <c r="T65" s="79">
        <f t="shared" si="44"/>
        <v>0.43452556790027586</v>
      </c>
      <c r="U65" s="80">
        <f t="shared" si="45"/>
        <v>0.3385034839910097</v>
      </c>
      <c r="V65" s="80">
        <f t="shared" si="46"/>
        <v>0.25330832267363995</v>
      </c>
      <c r="W65" s="80">
        <f t="shared" si="47"/>
        <v>0.19378844687983995</v>
      </c>
      <c r="X65" s="81">
        <f t="shared" si="48"/>
        <v>0.18641667334000678</v>
      </c>
      <c r="Y65" s="165">
        <f t="shared" si="49"/>
        <v>20935.779442004077</v>
      </c>
      <c r="Z65" s="165">
        <f t="shared" si="50"/>
        <v>17778.910510818652</v>
      </c>
      <c r="AA65" s="165">
        <f t="shared" si="51"/>
        <v>14580.432564644692</v>
      </c>
      <c r="AB65" s="165">
        <f t="shared" si="52"/>
        <v>12032.279565846035</v>
      </c>
      <c r="AC65" s="165">
        <f t="shared" si="53"/>
        <v>11693.668934603906</v>
      </c>
      <c r="AD65" s="72">
        <f t="shared" si="54"/>
        <v>2.7073348323282667</v>
      </c>
      <c r="AE65" s="73">
        <f t="shared" si="55"/>
        <v>1.9251573034309477</v>
      </c>
      <c r="AF65" s="73">
        <f t="shared" si="56"/>
        <v>1.3185268399791972</v>
      </c>
      <c r="AG65" s="73">
        <f t="shared" si="57"/>
        <v>0.9434515381103511</v>
      </c>
      <c r="AH65" s="74">
        <f t="shared" si="58"/>
        <v>0.8997869893993818</v>
      </c>
      <c r="AI65" s="28"/>
      <c r="BX65"/>
    </row>
    <row r="66" spans="1:76" ht="16.5">
      <c r="A66" s="18">
        <v>25</v>
      </c>
      <c r="B66" s="4">
        <v>-0.7435059454395301</v>
      </c>
      <c r="C66" s="11">
        <v>237.38808390302393</v>
      </c>
      <c r="D66" s="4">
        <v>-0.8189315282179058</v>
      </c>
      <c r="E66" s="4">
        <f t="shared" si="31"/>
        <v>1.1060967131373476</v>
      </c>
      <c r="F66" s="83">
        <f t="shared" si="32"/>
        <v>1.401849531820938</v>
      </c>
      <c r="G66" s="86">
        <f t="shared" si="33"/>
        <v>447.5853573472051</v>
      </c>
      <c r="H66" s="88">
        <f t="shared" si="34"/>
        <v>1.544061330601755</v>
      </c>
      <c r="I66" s="88">
        <f t="shared" si="35"/>
        <v>2.0854993412912513</v>
      </c>
      <c r="J66" s="57">
        <f t="shared" si="36"/>
        <v>0.2606979566265735</v>
      </c>
      <c r="K66" s="11">
        <f t="shared" si="37"/>
        <v>116.27513381290215</v>
      </c>
      <c r="L66" s="11">
        <f t="shared" si="38"/>
        <v>6060.438590556683</v>
      </c>
      <c r="M66" s="15">
        <f t="shared" si="39"/>
        <v>34.10802789859074</v>
      </c>
      <c r="N66" s="11">
        <f t="shared" si="40"/>
        <v>5383.868796657897</v>
      </c>
      <c r="O66" s="11">
        <f t="shared" si="41"/>
        <v>15714.25575685957</v>
      </c>
      <c r="P66" s="11">
        <f t="shared" si="42"/>
        <v>1.6078618821797632</v>
      </c>
      <c r="Q66" s="121">
        <f t="shared" si="43"/>
        <v>27310.554167667822</v>
      </c>
      <c r="R66" s="90">
        <f t="shared" si="59"/>
        <v>0.2154493132042049</v>
      </c>
      <c r="S66" s="28"/>
      <c r="T66" s="79">
        <f t="shared" si="44"/>
        <v>0.43783774673796716</v>
      </c>
      <c r="U66" s="80">
        <f t="shared" si="45"/>
        <v>0.3434791177875324</v>
      </c>
      <c r="V66" s="80">
        <f t="shared" si="46"/>
        <v>0.2606979566265735</v>
      </c>
      <c r="W66" s="80">
        <f t="shared" si="47"/>
        <v>0.2041040253598349</v>
      </c>
      <c r="X66" s="81">
        <f t="shared" si="48"/>
        <v>0.19764359360362133</v>
      </c>
      <c r="Y66" s="165">
        <f t="shared" si="49"/>
        <v>21038.003539870944</v>
      </c>
      <c r="Z66" s="165">
        <f t="shared" si="50"/>
        <v>17952.770269553213</v>
      </c>
      <c r="AA66" s="165">
        <f t="shared" si="51"/>
        <v>14876.557083433316</v>
      </c>
      <c r="AB66" s="165">
        <f t="shared" si="52"/>
        <v>12496.819126443786</v>
      </c>
      <c r="AC66" s="165">
        <f t="shared" si="53"/>
        <v>12207.12876499658</v>
      </c>
      <c r="AD66" s="72">
        <f t="shared" si="54"/>
        <v>2.736176764633395</v>
      </c>
      <c r="AE66" s="73">
        <f t="shared" si="55"/>
        <v>1.9631247093185846</v>
      </c>
      <c r="AF66" s="73">
        <f t="shared" si="56"/>
        <v>1.367891486646649</v>
      </c>
      <c r="AG66" s="73">
        <f t="shared" si="57"/>
        <v>1.0055851892922796</v>
      </c>
      <c r="AH66" s="74">
        <f t="shared" si="58"/>
        <v>0.9665312610079089</v>
      </c>
      <c r="AI66" s="28"/>
      <c r="BX66"/>
    </row>
    <row r="67" spans="1:76" ht="16.5">
      <c r="A67" s="18">
        <v>26</v>
      </c>
      <c r="B67" s="4">
        <v>-0.7379026729240881</v>
      </c>
      <c r="C67" s="11">
        <v>236.44602626135057</v>
      </c>
      <c r="D67" s="4">
        <v>-0.8674766866019769</v>
      </c>
      <c r="E67" s="4">
        <f t="shared" si="31"/>
        <v>1.1388661714646098</v>
      </c>
      <c r="F67" s="83">
        <f t="shared" si="32"/>
        <v>1.3912847945775875</v>
      </c>
      <c r="G67" s="86">
        <f t="shared" si="33"/>
        <v>445.80914685147405</v>
      </c>
      <c r="H67" s="88">
        <f t="shared" si="34"/>
        <v>1.635591207357015</v>
      </c>
      <c r="I67" s="88">
        <f t="shared" si="35"/>
        <v>2.147284791825802</v>
      </c>
      <c r="J67" s="57">
        <f t="shared" si="36"/>
        <v>0.26842145017303354</v>
      </c>
      <c r="K67" s="11">
        <f t="shared" si="37"/>
        <v>114.52917269280132</v>
      </c>
      <c r="L67" s="11">
        <f t="shared" si="38"/>
        <v>5975.39417362946</v>
      </c>
      <c r="M67" s="15">
        <f t="shared" si="39"/>
        <v>38.27163804406526</v>
      </c>
      <c r="N67" s="11">
        <f t="shared" si="40"/>
        <v>5693.804888951815</v>
      </c>
      <c r="O67" s="11">
        <f t="shared" si="41"/>
        <v>16024.5861653277</v>
      </c>
      <c r="P67" s="11">
        <f t="shared" si="42"/>
        <v>1.6585489622536431</v>
      </c>
      <c r="Q67" s="121">
        <f t="shared" si="43"/>
        <v>27848.244587608096</v>
      </c>
      <c r="R67" s="90">
        <f t="shared" si="59"/>
        <v>0.2196910810929634</v>
      </c>
      <c r="S67" s="28"/>
      <c r="T67" s="79">
        <f t="shared" si="44"/>
        <v>0.441063692351034</v>
      </c>
      <c r="U67" s="80">
        <f t="shared" si="45"/>
        <v>0.3486155137600245</v>
      </c>
      <c r="V67" s="80">
        <f t="shared" si="46"/>
        <v>0.26842145017303354</v>
      </c>
      <c r="W67" s="80">
        <f t="shared" si="47"/>
        <v>0.21468366530039737</v>
      </c>
      <c r="X67" s="81">
        <f t="shared" si="48"/>
        <v>0.2089252979790192</v>
      </c>
      <c r="Y67" s="165">
        <f t="shared" si="49"/>
        <v>21137.187169602235</v>
      </c>
      <c r="Z67" s="165">
        <f t="shared" si="50"/>
        <v>18130.939347213975</v>
      </c>
      <c r="AA67" s="165">
        <f t="shared" si="51"/>
        <v>15181.853206904836</v>
      </c>
      <c r="AB67" s="165">
        <f t="shared" si="52"/>
        <v>12962.57722844017</v>
      </c>
      <c r="AC67" s="165">
        <f t="shared" si="53"/>
        <v>12710.373874477285</v>
      </c>
      <c r="AD67" s="72">
        <f t="shared" si="54"/>
        <v>2.7643871281993477</v>
      </c>
      <c r="AE67" s="73">
        <f t="shared" si="55"/>
        <v>2.0026127113145673</v>
      </c>
      <c r="AF67" s="73">
        <f t="shared" si="56"/>
        <v>1.420146838226673</v>
      </c>
      <c r="AG67" s="73">
        <f t="shared" si="57"/>
        <v>1.0705601385132817</v>
      </c>
      <c r="AH67" s="74">
        <f t="shared" si="58"/>
        <v>1.035037995014348</v>
      </c>
      <c r="AI67" s="28"/>
      <c r="BX67"/>
    </row>
    <row r="68" spans="1:76" ht="16.5">
      <c r="A68" s="18">
        <v>27</v>
      </c>
      <c r="B68" s="4">
        <v>-0.7316515309435765</v>
      </c>
      <c r="C68" s="11">
        <v>235.02302523518713</v>
      </c>
      <c r="D68" s="4">
        <v>-0.9167679179694548</v>
      </c>
      <c r="E68" s="4">
        <f t="shared" si="31"/>
        <v>1.17293536827488</v>
      </c>
      <c r="F68" s="83">
        <f t="shared" si="32"/>
        <v>1.3794985264078745</v>
      </c>
      <c r="G68" s="86">
        <f t="shared" si="33"/>
        <v>443.1261376105343</v>
      </c>
      <c r="H68" s="88">
        <f t="shared" si="34"/>
        <v>1.7285277736874</v>
      </c>
      <c r="I68" s="88">
        <f t="shared" si="35"/>
        <v>2.211520845203639</v>
      </c>
      <c r="J68" s="57">
        <f t="shared" si="36"/>
        <v>0.2764512814589015</v>
      </c>
      <c r="K68" s="11">
        <f t="shared" si="37"/>
        <v>112.5969244141826</v>
      </c>
      <c r="L68" s="11">
        <f t="shared" si="38"/>
        <v>5878.639832746761</v>
      </c>
      <c r="M68" s="15">
        <f t="shared" si="39"/>
        <v>42.744499912568216</v>
      </c>
      <c r="N68" s="11">
        <f t="shared" si="40"/>
        <v>6024.444055860346</v>
      </c>
      <c r="O68" s="11">
        <f t="shared" si="41"/>
        <v>16335.049642036262</v>
      </c>
      <c r="P68" s="11">
        <f t="shared" si="42"/>
        <v>1.7108467545531316</v>
      </c>
      <c r="Q68" s="121">
        <f t="shared" si="43"/>
        <v>28395.18580172467</v>
      </c>
      <c r="R68" s="90">
        <f t="shared" si="59"/>
        <v>0.2240058272610948</v>
      </c>
      <c r="S68" s="28"/>
      <c r="T68" s="79">
        <f t="shared" si="44"/>
        <v>0.4441379987232589</v>
      </c>
      <c r="U68" s="80">
        <f t="shared" si="45"/>
        <v>0.35386751697066304</v>
      </c>
      <c r="V68" s="80">
        <f t="shared" si="46"/>
        <v>0.2764512814589015</v>
      </c>
      <c r="W68" s="80">
        <f t="shared" si="47"/>
        <v>0.22553899057537793</v>
      </c>
      <c r="X68" s="81">
        <f t="shared" si="48"/>
        <v>0.22034018089185964</v>
      </c>
      <c r="Y68" s="165">
        <f t="shared" si="49"/>
        <v>21231.36408287757</v>
      </c>
      <c r="Z68" s="165">
        <f t="shared" si="50"/>
        <v>18311.77176252059</v>
      </c>
      <c r="AA68" s="165">
        <f t="shared" si="51"/>
        <v>15494.862423634893</v>
      </c>
      <c r="AB68" s="165">
        <f t="shared" si="52"/>
        <v>13429.872631857745</v>
      </c>
      <c r="AC68" s="165">
        <f t="shared" si="53"/>
        <v>13207.3773092905</v>
      </c>
      <c r="AD68" s="72">
        <f t="shared" si="54"/>
        <v>2.791381020958685</v>
      </c>
      <c r="AE68" s="73">
        <f t="shared" si="55"/>
        <v>2.043298188362036</v>
      </c>
      <c r="AF68" s="73">
        <f t="shared" si="56"/>
        <v>1.4751905176656848</v>
      </c>
      <c r="AG68" s="73">
        <f t="shared" si="57"/>
        <v>1.1385447366015202</v>
      </c>
      <c r="AH68" s="74">
        <f t="shared" si="58"/>
        <v>1.105819309177733</v>
      </c>
      <c r="AI68" s="28"/>
      <c r="BX68"/>
    </row>
    <row r="69" spans="1:76" ht="16.5">
      <c r="A69" s="18">
        <v>28</v>
      </c>
      <c r="B69" s="4">
        <v>-0.725054795017682</v>
      </c>
      <c r="C69" s="11">
        <v>233.10995497958777</v>
      </c>
      <c r="D69" s="4">
        <v>-0.9671283960386144</v>
      </c>
      <c r="E69" s="4">
        <f t="shared" si="31"/>
        <v>1.208735616337318</v>
      </c>
      <c r="F69" s="83">
        <f t="shared" si="32"/>
        <v>1.3670606552301334</v>
      </c>
      <c r="G69" s="86">
        <f t="shared" si="33"/>
        <v>439.5191232233566</v>
      </c>
      <c r="H69" s="88">
        <f t="shared" si="34"/>
        <v>1.8234803601953604</v>
      </c>
      <c r="I69" s="88">
        <f t="shared" si="35"/>
        <v>2.279020723709296</v>
      </c>
      <c r="J69" s="57">
        <f t="shared" si="36"/>
        <v>0.2848891073793218</v>
      </c>
      <c r="K69" s="11">
        <f t="shared" si="37"/>
        <v>110.57567893306557</v>
      </c>
      <c r="L69" s="11">
        <f t="shared" si="38"/>
        <v>5774.54161908019</v>
      </c>
      <c r="M69" s="15">
        <f t="shared" si="39"/>
        <v>47.56962156363647</v>
      </c>
      <c r="N69" s="11">
        <f t="shared" si="40"/>
        <v>6381.055604752905</v>
      </c>
      <c r="O69" s="11">
        <f t="shared" si="41"/>
        <v>16649.15375928331</v>
      </c>
      <c r="P69" s="11">
        <f t="shared" si="42"/>
        <v>1.7655345635635</v>
      </c>
      <c r="Q69" s="121">
        <f t="shared" si="43"/>
        <v>28964.661818176668</v>
      </c>
      <c r="R69" s="90">
        <f t="shared" si="59"/>
        <v>0.22849834747425482</v>
      </c>
      <c r="S69" s="28"/>
      <c r="T69" s="79">
        <f t="shared" si="44"/>
        <v>0.44718149179085087</v>
      </c>
      <c r="U69" s="80">
        <f t="shared" si="45"/>
        <v>0.3593539001361832</v>
      </c>
      <c r="V69" s="80">
        <f t="shared" si="46"/>
        <v>0.2848891073793218</v>
      </c>
      <c r="W69" s="80">
        <f t="shared" si="47"/>
        <v>0.23675096722335345</v>
      </c>
      <c r="X69" s="81">
        <f t="shared" si="48"/>
        <v>0.23195447069738884</v>
      </c>
      <c r="Y69" s="165">
        <f t="shared" si="49"/>
        <v>21324.269243237115</v>
      </c>
      <c r="Z69" s="165">
        <f t="shared" si="50"/>
        <v>18499.249331895833</v>
      </c>
      <c r="AA69" s="165">
        <f t="shared" si="51"/>
        <v>15819.124140075439</v>
      </c>
      <c r="AB69" s="165">
        <f t="shared" si="52"/>
        <v>13901.88510607753</v>
      </c>
      <c r="AC69" s="165">
        <f t="shared" si="53"/>
        <v>13701.240975130626</v>
      </c>
      <c r="AD69" s="72">
        <f t="shared" si="54"/>
        <v>2.818209707194083</v>
      </c>
      <c r="AE69" s="73">
        <f t="shared" si="55"/>
        <v>2.086132667896972</v>
      </c>
      <c r="AF69" s="73">
        <f t="shared" si="56"/>
        <v>1.5338171459929364</v>
      </c>
      <c r="AG69" s="73">
        <f t="shared" si="57"/>
        <v>1.210162859777791</v>
      </c>
      <c r="AH69" s="74">
        <f t="shared" si="58"/>
        <v>1.1793504369557195</v>
      </c>
      <c r="AI69" s="28"/>
      <c r="BX69"/>
    </row>
    <row r="70" spans="1:76" ht="16.5">
      <c r="A70" s="18">
        <v>29</v>
      </c>
      <c r="B70" s="4">
        <v>-0.7179155992224899</v>
      </c>
      <c r="C70" s="11">
        <v>230.61392478009316</v>
      </c>
      <c r="D70" s="4">
        <v>-1.0189111298928748</v>
      </c>
      <c r="E70" s="4">
        <f t="shared" si="31"/>
        <v>1.246427975547148</v>
      </c>
      <c r="F70" s="83">
        <f t="shared" si="32"/>
        <v>1.353599998534037</v>
      </c>
      <c r="G70" s="86">
        <f t="shared" si="33"/>
        <v>434.812962111889</v>
      </c>
      <c r="H70" s="88">
        <f t="shared" si="34"/>
        <v>1.9211145508232377</v>
      </c>
      <c r="I70" s="88">
        <f t="shared" si="35"/>
        <v>2.350088099075461</v>
      </c>
      <c r="J70" s="57">
        <f t="shared" si="36"/>
        <v>0.2937728884354701</v>
      </c>
      <c r="K70" s="11">
        <f t="shared" si="37"/>
        <v>108.40884978004276</v>
      </c>
      <c r="L70" s="11">
        <f t="shared" si="38"/>
        <v>5660.004087609198</v>
      </c>
      <c r="M70" s="15">
        <f t="shared" si="39"/>
        <v>52.800014170450815</v>
      </c>
      <c r="N70" s="11">
        <f t="shared" si="40"/>
        <v>6766.598037252994</v>
      </c>
      <c r="O70" s="11">
        <f t="shared" si="41"/>
        <v>16968.07271729079</v>
      </c>
      <c r="P70" s="11">
        <f t="shared" si="42"/>
        <v>1.8228887494547912</v>
      </c>
      <c r="Q70" s="121">
        <f t="shared" si="43"/>
        <v>29557.70659485293</v>
      </c>
      <c r="R70" s="90">
        <f t="shared" si="59"/>
        <v>0.23317679848809425</v>
      </c>
      <c r="S70" s="28"/>
      <c r="T70" s="79">
        <f t="shared" si="44"/>
        <v>0.4501594863623601</v>
      </c>
      <c r="U70" s="80">
        <f t="shared" si="45"/>
        <v>0.36508246833008223</v>
      </c>
      <c r="V70" s="80">
        <f t="shared" si="46"/>
        <v>0.2937728884354701</v>
      </c>
      <c r="W70" s="80">
        <f t="shared" si="47"/>
        <v>0.24838572232563016</v>
      </c>
      <c r="X70" s="81">
        <f t="shared" si="48"/>
        <v>0.24385257822812337</v>
      </c>
      <c r="Y70" s="165">
        <f t="shared" si="49"/>
        <v>21414.862341799744</v>
      </c>
      <c r="Z70" s="165">
        <f t="shared" si="50"/>
        <v>18693.48127244575</v>
      </c>
      <c r="AA70" s="165">
        <f t="shared" si="51"/>
        <v>16155.56652359072</v>
      </c>
      <c r="AB70" s="165">
        <f t="shared" si="52"/>
        <v>14380.913558877379</v>
      </c>
      <c r="AC70" s="165">
        <f t="shared" si="53"/>
        <v>14195.539889740345</v>
      </c>
      <c r="AD70" s="72">
        <f t="shared" si="54"/>
        <v>2.844562476985661</v>
      </c>
      <c r="AE70" s="73">
        <f t="shared" si="55"/>
        <v>2.1312214890102257</v>
      </c>
      <c r="AF70" s="73">
        <f t="shared" si="56"/>
        <v>1.5964129649086733</v>
      </c>
      <c r="AG70" s="73">
        <f t="shared" si="57"/>
        <v>1.2859855310732062</v>
      </c>
      <c r="AH70" s="74">
        <f t="shared" si="58"/>
        <v>1.2562612852961905</v>
      </c>
      <c r="AI70" s="28"/>
      <c r="BX70"/>
    </row>
    <row r="71" spans="1:76" ht="16.5">
      <c r="A71" s="18">
        <v>30</v>
      </c>
      <c r="B71" s="4">
        <v>-0.7102502150156997</v>
      </c>
      <c r="C71" s="11">
        <v>227.50587821073148</v>
      </c>
      <c r="D71" s="4">
        <v>-1.072381236051545</v>
      </c>
      <c r="E71" s="4">
        <f t="shared" si="31"/>
        <v>1.2862569274314084</v>
      </c>
      <c r="F71" s="83">
        <f t="shared" si="32"/>
        <v>1.3391472354762193</v>
      </c>
      <c r="G71" s="86">
        <f t="shared" si="33"/>
        <v>428.95286959364876</v>
      </c>
      <c r="H71" s="88">
        <f t="shared" si="34"/>
        <v>2.0219302117398916</v>
      </c>
      <c r="I71" s="88">
        <f t="shared" si="35"/>
        <v>2.4251839310514414</v>
      </c>
      <c r="J71" s="57">
        <f t="shared" si="36"/>
        <v>0.30316024692544646</v>
      </c>
      <c r="K71" s="11">
        <f t="shared" si="37"/>
        <v>106.10618606552916</v>
      </c>
      <c r="L71" s="11">
        <f t="shared" si="38"/>
        <v>5535.398039506601</v>
      </c>
      <c r="M71" s="15">
        <f t="shared" si="39"/>
        <v>58.4870665090556</v>
      </c>
      <c r="N71" s="11">
        <f t="shared" si="40"/>
        <v>7185.147066150992</v>
      </c>
      <c r="O71" s="11">
        <f t="shared" si="41"/>
        <v>17293.759181687947</v>
      </c>
      <c r="P71" s="11">
        <f t="shared" si="42"/>
        <v>1.883463303238058</v>
      </c>
      <c r="Q71" s="121">
        <f t="shared" si="43"/>
        <v>30180.78100322336</v>
      </c>
      <c r="R71" s="90">
        <f t="shared" si="59"/>
        <v>0.2380921492544822</v>
      </c>
      <c r="S71" s="28"/>
      <c r="T71" s="79">
        <f t="shared" si="44"/>
        <v>0.4531336995177857</v>
      </c>
      <c r="U71" s="80">
        <f t="shared" si="45"/>
        <v>0.37111971823586304</v>
      </c>
      <c r="V71" s="80">
        <f t="shared" si="46"/>
        <v>0.30316024692544646</v>
      </c>
      <c r="W71" s="80">
        <f t="shared" si="47"/>
        <v>0.26049763875315424</v>
      </c>
      <c r="X71" s="81">
        <f t="shared" si="48"/>
        <v>0.25610251600419676</v>
      </c>
      <c r="Y71" s="165">
        <f t="shared" si="49"/>
        <v>21505.03467447554</v>
      </c>
      <c r="Z71" s="165">
        <f t="shared" si="50"/>
        <v>18896.53333554615</v>
      </c>
      <c r="AA71" s="165">
        <f t="shared" si="51"/>
        <v>16505.769446235365</v>
      </c>
      <c r="AB71" s="165">
        <f t="shared" si="52"/>
        <v>14868.582315447626</v>
      </c>
      <c r="AC71" s="165">
        <f t="shared" si="53"/>
        <v>14692.876136735058</v>
      </c>
      <c r="AD71" s="72">
        <f t="shared" si="54"/>
        <v>2.8709819488591237</v>
      </c>
      <c r="AE71" s="73">
        <f t="shared" si="55"/>
        <v>2.179141810316283</v>
      </c>
      <c r="AF71" s="73">
        <f t="shared" si="56"/>
        <v>1.6635274785548833</v>
      </c>
      <c r="AG71" s="73">
        <f t="shared" si="57"/>
        <v>1.3665451635970864</v>
      </c>
      <c r="AH71" s="74">
        <f t="shared" si="58"/>
        <v>1.337120114862915</v>
      </c>
      <c r="AI71" s="28"/>
      <c r="BX71"/>
    </row>
    <row r="72" spans="1:76" ht="16.5">
      <c r="A72" s="18">
        <v>31</v>
      </c>
      <c r="B72" s="4">
        <v>-0.7022009474414048</v>
      </c>
      <c r="C72" s="11">
        <v>223.56423801738163</v>
      </c>
      <c r="D72" s="4">
        <v>-1.1280864983109464</v>
      </c>
      <c r="E72" s="4">
        <f t="shared" si="31"/>
        <v>1.3287833977962924</v>
      </c>
      <c r="F72" s="83">
        <f t="shared" si="32"/>
        <v>1.3239706762977228</v>
      </c>
      <c r="G72" s="86">
        <f t="shared" si="33"/>
        <v>421.52107097314473</v>
      </c>
      <c r="H72" s="88">
        <f t="shared" si="34"/>
        <v>2.1269601665066156</v>
      </c>
      <c r="I72" s="88">
        <f t="shared" si="35"/>
        <v>2.505365821911463</v>
      </c>
      <c r="J72" s="57">
        <f t="shared" si="36"/>
        <v>0.3131833884780687</v>
      </c>
      <c r="K72" s="11">
        <f t="shared" si="37"/>
        <v>103.7148106430372</v>
      </c>
      <c r="L72" s="11">
        <f t="shared" si="38"/>
        <v>5401.532250465407</v>
      </c>
      <c r="M72" s="15">
        <f t="shared" si="39"/>
        <v>64.7211505801498</v>
      </c>
      <c r="N72" s="11">
        <f t="shared" si="40"/>
        <v>7644.590514101867</v>
      </c>
      <c r="O72" s="11">
        <f t="shared" si="41"/>
        <v>17629.26144006699</v>
      </c>
      <c r="P72" s="11">
        <f t="shared" si="42"/>
        <v>1.9480215075957912</v>
      </c>
      <c r="Q72" s="121">
        <f t="shared" si="43"/>
        <v>30845.768187365047</v>
      </c>
      <c r="R72" s="90">
        <f t="shared" si="59"/>
        <v>0.24333814430948328</v>
      </c>
      <c r="S72" s="28"/>
      <c r="T72" s="79">
        <f t="shared" si="44"/>
        <v>0.4560954897261821</v>
      </c>
      <c r="U72" s="80">
        <f t="shared" si="45"/>
        <v>0.3775436251228227</v>
      </c>
      <c r="V72" s="80">
        <f t="shared" si="46"/>
        <v>0.3131833884780687</v>
      </c>
      <c r="W72" s="80">
        <f t="shared" si="47"/>
        <v>0.27323439313478315</v>
      </c>
      <c r="X72" s="81">
        <f t="shared" si="48"/>
        <v>0.26880994250635043</v>
      </c>
      <c r="Y72" s="165">
        <f t="shared" si="49"/>
        <v>21594.529595409273</v>
      </c>
      <c r="Z72" s="165">
        <f t="shared" si="50"/>
        <v>19110.776534077522</v>
      </c>
      <c r="AA72" s="165">
        <f t="shared" si="51"/>
        <v>16873.909118339794</v>
      </c>
      <c r="AB72" s="165">
        <f t="shared" si="52"/>
        <v>15369.993149365811</v>
      </c>
      <c r="AC72" s="165">
        <f t="shared" si="53"/>
        <v>15197.098803142557</v>
      </c>
      <c r="AD72" s="72">
        <f t="shared" si="54"/>
        <v>2.8973905441674446</v>
      </c>
      <c r="AE72" s="73">
        <f t="shared" si="55"/>
        <v>2.230584118582822</v>
      </c>
      <c r="AF72" s="73">
        <f t="shared" si="56"/>
        <v>1.736288284721306</v>
      </c>
      <c r="AG72" s="73">
        <f t="shared" si="57"/>
        <v>1.4530514730884927</v>
      </c>
      <c r="AH72" s="74">
        <f t="shared" si="58"/>
        <v>1.42279311741889</v>
      </c>
      <c r="AI72" s="28"/>
      <c r="BX72"/>
    </row>
    <row r="73" spans="1:76" ht="16.5">
      <c r="A73" s="18">
        <v>32</v>
      </c>
      <c r="B73" s="4">
        <v>-0.6934456903989243</v>
      </c>
      <c r="C73" s="11">
        <v>218.6426703280376</v>
      </c>
      <c r="D73" s="4">
        <v>-1.1866289424589562</v>
      </c>
      <c r="E73" s="4">
        <f t="shared" si="31"/>
        <v>1.374392655908093</v>
      </c>
      <c r="F73" s="83">
        <f t="shared" si="32"/>
        <v>1.3074630033446606</v>
      </c>
      <c r="G73" s="86">
        <f t="shared" si="33"/>
        <v>412.24165982189504</v>
      </c>
      <c r="H73" s="88">
        <f t="shared" si="34"/>
        <v>2.2373395097034288</v>
      </c>
      <c r="I73" s="88">
        <f t="shared" si="35"/>
        <v>2.591360180830719</v>
      </c>
      <c r="J73" s="57">
        <f t="shared" si="36"/>
        <v>0.3239331179111078</v>
      </c>
      <c r="K73" s="11">
        <f t="shared" si="37"/>
        <v>101.14463779567133</v>
      </c>
      <c r="L73" s="11">
        <f t="shared" si="38"/>
        <v>5253.70183125278</v>
      </c>
      <c r="M73" s="15">
        <f t="shared" si="39"/>
        <v>71.61290646341288</v>
      </c>
      <c r="N73" s="11">
        <f t="shared" si="40"/>
        <v>8151.61672009447</v>
      </c>
      <c r="O73" s="11">
        <f t="shared" si="41"/>
        <v>17977.17730839886</v>
      </c>
      <c r="P73" s="11">
        <f t="shared" si="42"/>
        <v>2.0173257513065166</v>
      </c>
      <c r="Q73" s="121">
        <f t="shared" si="43"/>
        <v>31557.2707297565</v>
      </c>
      <c r="R73" s="90">
        <f t="shared" si="59"/>
        <v>0.24895109281137645</v>
      </c>
      <c r="S73" s="28"/>
      <c r="T73" s="79">
        <f t="shared" si="44"/>
        <v>0.4590408473191869</v>
      </c>
      <c r="U73" s="80">
        <f t="shared" si="45"/>
        <v>0.384407511909958</v>
      </c>
      <c r="V73" s="80">
        <f t="shared" si="46"/>
        <v>0.3239331179111078</v>
      </c>
      <c r="W73" s="80">
        <f t="shared" si="47"/>
        <v>0.28672127320437635</v>
      </c>
      <c r="X73" s="81">
        <f t="shared" si="48"/>
        <v>0.2821318948608705</v>
      </c>
      <c r="Y73" s="165">
        <f t="shared" si="49"/>
        <v>21683.233103402472</v>
      </c>
      <c r="Z73" s="165">
        <f t="shared" si="50"/>
        <v>19337.675850839627</v>
      </c>
      <c r="AA73" s="165">
        <f t="shared" si="51"/>
        <v>17262.37755242972</v>
      </c>
      <c r="AB73" s="165">
        <f t="shared" si="52"/>
        <v>15888.920871721753</v>
      </c>
      <c r="AC73" s="165">
        <f t="shared" si="53"/>
        <v>15713.679163600715</v>
      </c>
      <c r="AD73" s="72">
        <f t="shared" si="54"/>
        <v>2.923751060967807</v>
      </c>
      <c r="AE73" s="73">
        <f t="shared" si="55"/>
        <v>2.2860658064367456</v>
      </c>
      <c r="AF73" s="73">
        <f t="shared" si="56"/>
        <v>1.8155870453780816</v>
      </c>
      <c r="AG73" s="73">
        <f t="shared" si="57"/>
        <v>1.5466536303497282</v>
      </c>
      <c r="AH73" s="74">
        <f t="shared" si="58"/>
        <v>1.5145712134002205</v>
      </c>
      <c r="AI73" s="28"/>
      <c r="BX73"/>
    </row>
    <row r="74" spans="1:76" ht="16.5">
      <c r="A74" s="18">
        <v>33</v>
      </c>
      <c r="B74" s="4">
        <v>-0.68417335829729</v>
      </c>
      <c r="C74" s="11">
        <v>212.54789818753315</v>
      </c>
      <c r="D74" s="4">
        <v>-1.2484668110260242</v>
      </c>
      <c r="E74" s="4">
        <f t="shared" si="31"/>
        <v>1.4236441136875755</v>
      </c>
      <c r="F74" s="83">
        <f t="shared" si="32"/>
        <v>1.2899804068768135</v>
      </c>
      <c r="G74" s="86">
        <f t="shared" si="33"/>
        <v>400.75022048085435</v>
      </c>
      <c r="H74" s="88">
        <f t="shared" si="34"/>
        <v>2.353932238559555</v>
      </c>
      <c r="I74" s="88">
        <f t="shared" si="35"/>
        <v>2.6842217557154378</v>
      </c>
      <c r="J74" s="57">
        <f t="shared" si="36"/>
        <v>0.33554128404295736</v>
      </c>
      <c r="K74" s="11">
        <f t="shared" si="37"/>
        <v>98.45783325283317</v>
      </c>
      <c r="L74" s="11">
        <f t="shared" si="38"/>
        <v>5093.904299371824</v>
      </c>
      <c r="M74" s="15">
        <f t="shared" si="39"/>
        <v>79.27119953042207</v>
      </c>
      <c r="N74" s="11">
        <f t="shared" si="40"/>
        <v>8715.57390236427</v>
      </c>
      <c r="O74" s="11">
        <f t="shared" si="41"/>
        <v>18340.70262157852</v>
      </c>
      <c r="P74" s="11">
        <f t="shared" si="42"/>
        <v>2.0924373440265773</v>
      </c>
      <c r="Q74" s="121">
        <f t="shared" si="43"/>
        <v>32330.002293441892</v>
      </c>
      <c r="R74" s="90">
        <f t="shared" si="59"/>
        <v>0.2550470688822072</v>
      </c>
      <c r="S74" s="28"/>
      <c r="T74" s="79">
        <f t="shared" si="44"/>
        <v>0.4620418885370804</v>
      </c>
      <c r="U74" s="80">
        <f t="shared" si="45"/>
        <v>0.3918312463084394</v>
      </c>
      <c r="V74" s="80">
        <f t="shared" si="46"/>
        <v>0.33554128404295736</v>
      </c>
      <c r="W74" s="80">
        <f t="shared" si="47"/>
        <v>0.3010836925235687</v>
      </c>
      <c r="X74" s="81">
        <f t="shared" si="48"/>
        <v>0.2961790596968592</v>
      </c>
      <c r="Y74" s="165">
        <f t="shared" si="49"/>
        <v>21773.313963182667</v>
      </c>
      <c r="Z74" s="165">
        <f t="shared" si="50"/>
        <v>19580.7938428558</v>
      </c>
      <c r="AA74" s="165">
        <f t="shared" si="51"/>
        <v>17674.802168179845</v>
      </c>
      <c r="AB74" s="165">
        <f t="shared" si="52"/>
        <v>16428.76093844632</v>
      </c>
      <c r="AC74" s="165">
        <f t="shared" si="53"/>
        <v>16245.84219522794</v>
      </c>
      <c r="AD74" s="72">
        <f t="shared" si="54"/>
        <v>2.9507109073455835</v>
      </c>
      <c r="AE74" s="73">
        <f t="shared" si="55"/>
        <v>2.3466729459081312</v>
      </c>
      <c r="AF74" s="73">
        <f t="shared" si="56"/>
        <v>1.902686780555536</v>
      </c>
      <c r="AG74" s="73">
        <f t="shared" si="57"/>
        <v>1.6485953468368915</v>
      </c>
      <c r="AH74" s="74">
        <f t="shared" si="58"/>
        <v>1.6135207394867437</v>
      </c>
      <c r="AI74" s="28"/>
      <c r="BX74"/>
    </row>
    <row r="75" spans="1:76" ht="16.5">
      <c r="A75" s="18">
        <v>34</v>
      </c>
      <c r="B75" s="4">
        <v>-0.6739838818223287</v>
      </c>
      <c r="C75" s="11">
        <v>204.83970364331694</v>
      </c>
      <c r="D75" s="4">
        <v>-1.3146950729765248</v>
      </c>
      <c r="E75" s="4">
        <f t="shared" si="31"/>
        <v>1.4773887125144298</v>
      </c>
      <c r="F75" s="83">
        <f t="shared" si="32"/>
        <v>1.2707685728443623</v>
      </c>
      <c r="G75" s="86">
        <f t="shared" si="33"/>
        <v>386.216740312641</v>
      </c>
      <c r="H75" s="88">
        <f t="shared" si="34"/>
        <v>2.4788028715088846</v>
      </c>
      <c r="I75" s="88">
        <f t="shared" si="35"/>
        <v>2.785554961139627</v>
      </c>
      <c r="J75" s="57">
        <f t="shared" si="36"/>
        <v>0.34820844680319607</v>
      </c>
      <c r="K75" s="11">
        <f t="shared" si="37"/>
        <v>95.54698288801856</v>
      </c>
      <c r="L75" s="11">
        <f t="shared" si="38"/>
        <v>4915.2657716598005</v>
      </c>
      <c r="M75" s="15">
        <f t="shared" si="39"/>
        <v>87.90457881172557</v>
      </c>
      <c r="N75" s="11">
        <f t="shared" si="40"/>
        <v>9350.268681632278</v>
      </c>
      <c r="O75" s="11">
        <f t="shared" si="41"/>
        <v>18724.42198174861</v>
      </c>
      <c r="P75" s="11">
        <f t="shared" si="42"/>
        <v>2.1747296220342203</v>
      </c>
      <c r="Q75" s="121">
        <f t="shared" si="43"/>
        <v>33175.58272636247</v>
      </c>
      <c r="R75" s="90">
        <f t="shared" si="59"/>
        <v>0.2617177399500001</v>
      </c>
      <c r="S75" s="28"/>
      <c r="T75" s="79">
        <f t="shared" si="44"/>
        <v>0.4650308746565111</v>
      </c>
      <c r="U75" s="80">
        <f t="shared" si="45"/>
        <v>0.3999057691742753</v>
      </c>
      <c r="V75" s="80">
        <f t="shared" si="46"/>
        <v>0.34820844680319607</v>
      </c>
      <c r="W75" s="80">
        <f t="shared" si="47"/>
        <v>0.31658681116318815</v>
      </c>
      <c r="X75" s="81">
        <f t="shared" si="48"/>
        <v>0.31122159942879063</v>
      </c>
      <c r="Y75" s="165">
        <f t="shared" si="49"/>
        <v>21862.735134612787</v>
      </c>
      <c r="Z75" s="165">
        <f t="shared" si="50"/>
        <v>19842.59585797961</v>
      </c>
      <c r="AA75" s="165">
        <f t="shared" si="51"/>
        <v>18116.86705613157</v>
      </c>
      <c r="AB75" s="165">
        <f t="shared" si="52"/>
        <v>16997.59888642095</v>
      </c>
      <c r="AC75" s="165">
        <f t="shared" si="53"/>
        <v>16802.31297359813</v>
      </c>
      <c r="AD75" s="72">
        <f t="shared" si="54"/>
        <v>2.977663758351032</v>
      </c>
      <c r="AE75" s="73">
        <f t="shared" si="55"/>
        <v>2.413301151288333</v>
      </c>
      <c r="AF75" s="73">
        <f t="shared" si="56"/>
        <v>1.9994723363801936</v>
      </c>
      <c r="AG75" s="73">
        <f t="shared" si="57"/>
        <v>1.7612532379402397</v>
      </c>
      <c r="AH75" s="74">
        <f t="shared" si="58"/>
        <v>1.7219576262113028</v>
      </c>
      <c r="AI75" s="28"/>
      <c r="BX75"/>
    </row>
    <row r="76" spans="1:76" ht="16.5">
      <c r="A76" s="18">
        <v>35</v>
      </c>
      <c r="B76" s="4">
        <v>-0.6632441842624921</v>
      </c>
      <c r="C76" s="11">
        <v>195.01696203664585</v>
      </c>
      <c r="D76" s="4">
        <v>-1.3862719757944502</v>
      </c>
      <c r="E76" s="4">
        <f t="shared" si="31"/>
        <v>1.536763755048598</v>
      </c>
      <c r="F76" s="83">
        <f t="shared" si="32"/>
        <v>1.2505193198444347</v>
      </c>
      <c r="G76" s="86">
        <f t="shared" si="33"/>
        <v>367.696369618941</v>
      </c>
      <c r="H76" s="88">
        <f t="shared" si="34"/>
        <v>2.613758144321376</v>
      </c>
      <c r="I76" s="88">
        <f t="shared" si="35"/>
        <v>2.8975041339591754</v>
      </c>
      <c r="J76" s="57">
        <f t="shared" si="36"/>
        <v>0.36220265913510763</v>
      </c>
      <c r="K76" s="11">
        <f t="shared" si="37"/>
        <v>92.52622797111351</v>
      </c>
      <c r="L76" s="11">
        <f t="shared" si="38"/>
        <v>4721.106729910133</v>
      </c>
      <c r="M76" s="15">
        <f t="shared" si="39"/>
        <v>97.73684470964409</v>
      </c>
      <c r="N76" s="11">
        <f t="shared" si="40"/>
        <v>10074.610427672616</v>
      </c>
      <c r="O76" s="11">
        <f t="shared" si="41"/>
        <v>19134.626180908715</v>
      </c>
      <c r="P76" s="11">
        <f t="shared" si="42"/>
        <v>2.2663047005769243</v>
      </c>
      <c r="Q76" s="121">
        <f t="shared" si="43"/>
        <v>34122.8727158728</v>
      </c>
      <c r="R76" s="90">
        <f t="shared" si="59"/>
        <v>0.26919078412157676</v>
      </c>
      <c r="S76" s="28"/>
      <c r="T76" s="79">
        <f t="shared" si="44"/>
        <v>0.468104716685163</v>
      </c>
      <c r="U76" s="80">
        <f t="shared" si="45"/>
        <v>0.4088469792453772</v>
      </c>
      <c r="V76" s="80">
        <f t="shared" si="46"/>
        <v>0.36220265913510763</v>
      </c>
      <c r="W76" s="80">
        <f t="shared" si="47"/>
        <v>0.33350677252840905</v>
      </c>
      <c r="X76" s="81">
        <f t="shared" si="48"/>
        <v>0.32751161132300155</v>
      </c>
      <c r="Y76" s="165">
        <f t="shared" si="49"/>
        <v>21954.38781686885</v>
      </c>
      <c r="Z76" s="165">
        <f t="shared" si="50"/>
        <v>20129.39362632324</v>
      </c>
      <c r="AA76" s="165">
        <f t="shared" si="51"/>
        <v>18596.031145925463</v>
      </c>
      <c r="AB76" s="165">
        <f t="shared" si="52"/>
        <v>17603.034067324184</v>
      </c>
      <c r="AC76" s="165">
        <f t="shared" si="53"/>
        <v>17390.28424810184</v>
      </c>
      <c r="AD76" s="72">
        <f t="shared" si="54"/>
        <v>3.0054872317293064</v>
      </c>
      <c r="AE76" s="73">
        <f t="shared" si="55"/>
        <v>2.4879417797727243</v>
      </c>
      <c r="AF76" s="73">
        <f t="shared" si="56"/>
        <v>2.108508464784839</v>
      </c>
      <c r="AG76" s="73">
        <f t="shared" si="57"/>
        <v>1.8873109933416343</v>
      </c>
      <c r="AH76" s="74">
        <f t="shared" si="58"/>
        <v>1.8422750332561195</v>
      </c>
      <c r="AI76" s="28"/>
      <c r="BX76"/>
    </row>
    <row r="77" spans="1:76" ht="16.5">
      <c r="A77" s="15">
        <f>J25</f>
        <v>36.23820889210402</v>
      </c>
      <c r="B77" s="4">
        <v>-0.6526372462371004</v>
      </c>
      <c r="C77" s="11">
        <v>181.6577317804412</v>
      </c>
      <c r="D77" s="4">
        <v>-1.463643292735403</v>
      </c>
      <c r="E77" s="4">
        <f t="shared" si="31"/>
        <v>1.6025564150897398</v>
      </c>
      <c r="F77" s="83">
        <f t="shared" si="32"/>
        <v>1.2305203794241815</v>
      </c>
      <c r="G77" s="86">
        <f t="shared" si="33"/>
        <v>342.50809668713873</v>
      </c>
      <c r="H77" s="88">
        <f t="shared" si="34"/>
        <v>2.7596385439272266</v>
      </c>
      <c r="I77" s="88">
        <f t="shared" si="35"/>
        <v>3.0215534576285448</v>
      </c>
      <c r="J77" s="57">
        <f t="shared" si="36"/>
        <v>0.3777094514707455</v>
      </c>
      <c r="K77" s="11">
        <f t="shared" si="37"/>
        <v>89.59043959780958</v>
      </c>
      <c r="L77" s="11">
        <f t="shared" si="38"/>
        <v>4514.305370607905</v>
      </c>
      <c r="M77" s="15">
        <f t="shared" si="39"/>
        <v>108.9511755376706</v>
      </c>
      <c r="N77" s="11">
        <f t="shared" si="40"/>
        <v>10905.303152588223</v>
      </c>
      <c r="O77" s="11">
        <f t="shared" si="41"/>
        <v>19571.034541766276</v>
      </c>
      <c r="P77" s="11">
        <f t="shared" si="42"/>
        <v>2.3677558101116194</v>
      </c>
      <c r="Q77" s="121">
        <f t="shared" si="43"/>
        <v>35191.552435907994</v>
      </c>
      <c r="R77" s="90">
        <f>Q77*J$29*(A77-A76)</f>
        <v>0.34375335503693416</v>
      </c>
      <c r="S77" s="28"/>
      <c r="T77" s="79">
        <f t="shared" si="44"/>
        <v>0.470847003056011</v>
      </c>
      <c r="U77" s="80">
        <f t="shared" si="45"/>
        <v>0.4186152156502333</v>
      </c>
      <c r="V77" s="80">
        <f t="shared" si="46"/>
        <v>0.3777094514707455</v>
      </c>
      <c r="W77" s="80">
        <f t="shared" si="47"/>
        <v>0.35209955006524457</v>
      </c>
      <c r="X77" s="81">
        <f t="shared" si="48"/>
        <v>0.34520673378620514</v>
      </c>
      <c r="Y77" s="165">
        <f t="shared" si="49"/>
        <v>22035.89404857938</v>
      </c>
      <c r="Z77" s="165">
        <f t="shared" si="50"/>
        <v>20439.102941094887</v>
      </c>
      <c r="AA77" s="165">
        <f t="shared" si="51"/>
        <v>19116.282624074232</v>
      </c>
      <c r="AB77" s="165">
        <f t="shared" si="52"/>
        <v>18251.049018127324</v>
      </c>
      <c r="AC77" s="165">
        <f t="shared" si="53"/>
        <v>18012.844076955556</v>
      </c>
      <c r="AD77" s="72">
        <f t="shared" si="54"/>
        <v>3.0303998075151575</v>
      </c>
      <c r="AE77" s="73">
        <f t="shared" si="55"/>
        <v>2.570520416977224</v>
      </c>
      <c r="AF77" s="73">
        <f t="shared" si="56"/>
        <v>2.2319182300449567</v>
      </c>
      <c r="AG77" s="73">
        <f t="shared" si="57"/>
        <v>2.029567500517264</v>
      </c>
      <c r="AH77" s="74">
        <f t="shared" si="58"/>
        <v>1.9763730955034955</v>
      </c>
      <c r="AI77" s="28"/>
      <c r="BX77"/>
    </row>
    <row r="78" spans="2:76" ht="6.75" customHeight="1">
      <c r="B78" s="4"/>
      <c r="D78" s="4"/>
      <c r="E78" s="4"/>
      <c r="F78" s="83"/>
      <c r="G78" s="86"/>
      <c r="H78" s="88"/>
      <c r="I78" s="88"/>
      <c r="J78" s="57"/>
      <c r="L78" s="11"/>
      <c r="M78" s="15"/>
      <c r="N78" s="11"/>
      <c r="O78" s="11"/>
      <c r="P78" s="11"/>
      <c r="Q78" s="121"/>
      <c r="R78" s="90"/>
      <c r="S78" s="28"/>
      <c r="T78" s="79"/>
      <c r="U78" s="80"/>
      <c r="V78" s="80"/>
      <c r="W78" s="80"/>
      <c r="X78" s="81"/>
      <c r="Y78" s="165"/>
      <c r="Z78" s="165"/>
      <c r="AA78" s="165"/>
      <c r="AB78" s="165"/>
      <c r="AC78" s="165"/>
      <c r="AD78" s="64"/>
      <c r="AE78" s="65"/>
      <c r="AF78" s="65"/>
      <c r="AG78" s="65"/>
      <c r="AH78" s="66"/>
      <c r="AI78" s="28"/>
      <c r="BX78"/>
    </row>
    <row r="79" spans="1:76" ht="16.5">
      <c r="A79" s="15">
        <f>I26</f>
        <v>41.284249216564326</v>
      </c>
      <c r="B79" s="4">
        <v>-0.6091989960299014</v>
      </c>
      <c r="C79" s="11">
        <v>165.1876539783805</v>
      </c>
      <c r="D79" s="4">
        <v>-0.9962057691997916</v>
      </c>
      <c r="E79" s="4">
        <f aca="true" t="shared" si="60" ref="E79:E93">SQRT(B79^2+D79^2)</f>
        <v>1.1677111592130942</v>
      </c>
      <c r="F79" s="83">
        <f aca="true" t="shared" si="61" ref="F79:F93">-B79*$E$29*(1-$E$33)/$E$30/$E$34</f>
        <v>1.1486193655996253</v>
      </c>
      <c r="G79" s="86">
        <f aca="true" t="shared" si="62" ref="G79:G93">C79*$E$29*(1-$E$33)/$E$30/$E$34</f>
        <v>311.4544501124308</v>
      </c>
      <c r="H79" s="88">
        <f aca="true" t="shared" si="63" ref="H79:H93">-D79*$E$29*(1-$E$33)/$E$30/$E$34</f>
        <v>1.878304537732343</v>
      </c>
      <c r="I79" s="88">
        <f aca="true" t="shared" si="64" ref="I79:I93">E79*$E$29*(1-$E$33)/$E$30/$E$34</f>
        <v>2.201670816333904</v>
      </c>
      <c r="J79" s="57">
        <f aca="true" t="shared" si="65" ref="J79:J93">E79*E$29/E$30</f>
        <v>0.27521997807356324</v>
      </c>
      <c r="K79" s="11">
        <f aca="true" t="shared" si="66" ref="K79:K93">L$33*E$14/120*F79^2/E$8*E$7*E$10*(E$10-1)*E$5/E$6</f>
        <v>78.06139614296876</v>
      </c>
      <c r="L79" s="11">
        <f aca="true" t="shared" si="67" ref="L79:L93">L$34*E$14/6*F79^2/E$9*E$7*E$5/E$6*(1+(G79*E$5/F79)^2/15)</f>
        <v>3911.53145259586</v>
      </c>
      <c r="M79" s="15">
        <f aca="true" t="shared" si="68" ref="M79:M93">L$35*E$14/8*H79^2/E$9*E$7*E$6/E$5</f>
        <v>50.4730479590025</v>
      </c>
      <c r="N79" s="11">
        <f aca="true" t="shared" si="69" ref="N79:N93">E$14*E$15*(E$12/E$11)^2*J79*(1-E$33)/E$34^2*(E$20/2/PI())^2/E$19*LN((E$18+E$19*J79)/(E$18+E$19*E$33*J79))</f>
        <v>5973.189304497472</v>
      </c>
      <c r="O79" s="11">
        <f aca="true" t="shared" si="70" ref="O79:O93">(Y79+Z79+AA79+AB79+AC79)/5</f>
        <v>15951.224660934811</v>
      </c>
      <c r="P79" s="11">
        <f aca="true" t="shared" si="71" ref="P79:P93">(AD79+AE79+AF79+AG79+AH79)/5</f>
        <v>1.5896611500559203</v>
      </c>
      <c r="Q79" s="121">
        <f aca="true" t="shared" si="72" ref="Q79:Q93">SUM(K79:P79)</f>
        <v>25966.069523280174</v>
      </c>
      <c r="R79" s="90">
        <f>Q79*J$29*(A80-A79)</f>
        <v>0.14661643284845355</v>
      </c>
      <c r="S79" s="28"/>
      <c r="T79" s="79">
        <f aca="true" t="shared" si="73" ref="T79:T93">SQRT(($B79-$C79*0.8*$E$5)^2+$D79^2)*$E$29/$E$30</f>
        <v>0.37712193176076453</v>
      </c>
      <c r="U79" s="80">
        <f aca="true" t="shared" si="74" ref="U79:U93">SQRT(($B79-$C79*0.4*$E$5)^2+$D79^2)*$E$29/$E$30</f>
        <v>0.3213148859833245</v>
      </c>
      <c r="V79" s="80">
        <f aca="true" t="shared" si="75" ref="V79:V93">SQRT(($B79)^2+$D79^2)*$E$29/$E$30</f>
        <v>0.27521997807356324</v>
      </c>
      <c r="W79" s="80">
        <f aca="true" t="shared" si="76" ref="W79:W93">SQRT(($B79+$C79*0.4*$E$5)^2+$D79^2)*$E$29/$E$30</f>
        <v>0.24439577030705356</v>
      </c>
      <c r="X79" s="81">
        <f aca="true" t="shared" si="77" ref="X79:X93">SQRT(($B79+$C79*0.8*$E$5)^2+$D79^2)*$E$29/$E$30</f>
        <v>0.23493195737058256</v>
      </c>
      <c r="Y79" s="165">
        <f aca="true" t="shared" si="78" ref="Y79:Y93">$L$36*$E$14*$E$15*$E$17/$E$34*2/3*$E$21/PI()*($E$22*$E$23*LN((T79+$E$23)/($E$33*T79+$E$23))+$E$24*T79*(1-$E$33)+$E$25*T79^2/2*(1-$E$33^2))</f>
        <v>19096.769163256024</v>
      </c>
      <c r="Z79" s="165">
        <f aca="true" t="shared" si="79" ref="Z79:Z93">$L$36*$E$14*$E$15*$E$17/$E$34*2/3*$E$21/PI()*($E$22*$E$23*LN((U79+$E$23)/($E$33*U79+$E$23))+$E$24*U79*(1-$E$33)+$E$25*U79^2/2*(1-$E$33^2))</f>
        <v>17168.352121413027</v>
      </c>
      <c r="AA79" s="165">
        <f aca="true" t="shared" si="80" ref="AA79:AA93">$L$36*$E$14*$E$15*$E$17/$E$34*2/3*$E$21/PI()*($E$22*$E$23*LN((V79+$E$23)/($E$33*V79+$E$23))+$E$24*V79*(1-$E$33)+$E$25*V79^2/2*(1-$E$33^2))</f>
        <v>15447.149620517885</v>
      </c>
      <c r="AB79" s="165">
        <f aca="true" t="shared" si="81" ref="AB79:AB93">$L$36*$E$14*$E$15*$E$17/$E$34*2/3*$E$21/PI()*($E$22*$E$23*LN((W79+$E$23)/($E$33*W79+$E$23))+$E$24*W79*(1-$E$33)+$E$25*W79^2/2*(1-$E$33^2))</f>
        <v>14217.836756842427</v>
      </c>
      <c r="AC79" s="165">
        <f aca="true" t="shared" si="82" ref="AC79:AC93">$L$36*$E$14*$E$15*$E$17/$E$34*2/3*$E$21/PI()*($E$22*$E$23*LN((X79+$E$23)/($E$33*X79+$E$23))+$E$24*X79*(1-$E$33)+$E$25*X79^2/2*(1-$E$33^2))</f>
        <v>13826.015642644694</v>
      </c>
      <c r="AD79" s="72">
        <f aca="true" t="shared" si="83" ref="AD79:AD93">1/9/PI()*$E$21/$E$34*$E$28^2*T79*(3*T79+4*$E$27)/($E$26*$E$27*$E$14*$E$15*$E$17*16*$E$5^2*$E$6^2)</f>
        <v>2.2271928993869987</v>
      </c>
      <c r="AE79" s="73">
        <f aca="true" t="shared" si="84" ref="AE79:AE93">1/9/PI()*$E$21/$E$34*$E$28^2*U79*(3*U79+4*$E$27)/($E$26*$E$27*$E$14*$E$15*$E$17*16*$E$5^2*$E$6^2)</f>
        <v>1.7961523741560506</v>
      </c>
      <c r="AF79" s="73">
        <f aca="true" t="shared" si="85" ref="AF79:AF93">1/9/PI()*$E$21/$E$34*$E$28^2*V79*(3*V79+4*$E$27)/($E$26*$E$27*$E$14*$E$15*$E$17*16*$E$5^2*$E$6^2)</f>
        <v>1.4667026943193484</v>
      </c>
      <c r="AG79" s="73">
        <f aca="true" t="shared" si="86" ref="AG79:AG93">1/9/PI()*$E$21/$E$34*$E$28^2*W79*(3*W79+4*$E$27)/($E$26*$E$27*$E$14*$E$15*$E$17*16*$E$5^2*$E$6^2)</f>
        <v>1.2598107834191197</v>
      </c>
      <c r="AH79" s="74">
        <f aca="true" t="shared" si="87" ref="AH79:AH93">1/9/PI()*$E$21/$E$34*$E$28^2*X79*(3*X79+4*$E$27)/($E$26*$E$27*$E$14*$E$15*$E$17*16*$E$5^2*$E$6^2)</f>
        <v>1.1984469989980837</v>
      </c>
      <c r="AI79" s="28"/>
      <c r="BX79"/>
    </row>
    <row r="80" spans="1:76" ht="16.5">
      <c r="A80" s="18">
        <v>42</v>
      </c>
      <c r="B80" s="4">
        <v>-0.6036062565672307</v>
      </c>
      <c r="C80" s="11">
        <v>178.0405812419791</v>
      </c>
      <c r="D80" s="4">
        <v>-1.0020586485015945</v>
      </c>
      <c r="E80" s="4">
        <f t="shared" si="60"/>
        <v>1.1698128260554967</v>
      </c>
      <c r="F80" s="83">
        <f t="shared" si="61"/>
        <v>1.138074487989122</v>
      </c>
      <c r="G80" s="86">
        <f t="shared" si="62"/>
        <v>335.6881098128289</v>
      </c>
      <c r="H80" s="88">
        <f t="shared" si="63"/>
        <v>1.8893398981882528</v>
      </c>
      <c r="I80" s="88">
        <f t="shared" si="64"/>
        <v>2.2056334217402713</v>
      </c>
      <c r="J80" s="57">
        <f t="shared" si="65"/>
        <v>0.2757153237741847</v>
      </c>
      <c r="K80" s="11">
        <f t="shared" si="66"/>
        <v>76.63469301306775</v>
      </c>
      <c r="L80" s="11">
        <f t="shared" si="67"/>
        <v>3913.211565216448</v>
      </c>
      <c r="M80" s="15">
        <f t="shared" si="68"/>
        <v>51.067865750279324</v>
      </c>
      <c r="N80" s="11">
        <f t="shared" si="69"/>
        <v>5993.784690466325</v>
      </c>
      <c r="O80" s="11">
        <f t="shared" si="70"/>
        <v>16058.372276271277</v>
      </c>
      <c r="P80" s="11">
        <f t="shared" si="71"/>
        <v>1.613282005467968</v>
      </c>
      <c r="Q80" s="121">
        <f t="shared" si="72"/>
        <v>26094.684372722862</v>
      </c>
      <c r="R80" s="90">
        <f aca="true" t="shared" si="88" ref="R80:R92">Q80*J$29</f>
        <v>0.2058574788291722</v>
      </c>
      <c r="S80" s="28"/>
      <c r="T80" s="79">
        <f t="shared" si="73"/>
        <v>0.3862138398380675</v>
      </c>
      <c r="U80" s="80">
        <f t="shared" si="74"/>
        <v>0.3254562517186123</v>
      </c>
      <c r="V80" s="80">
        <f t="shared" si="75"/>
        <v>0.2757153237741847</v>
      </c>
      <c r="W80" s="80">
        <f t="shared" si="76"/>
        <v>0.24382910824179474</v>
      </c>
      <c r="X80" s="81">
        <f t="shared" si="77"/>
        <v>0.2371135900132778</v>
      </c>
      <c r="Y80" s="165">
        <f t="shared" si="78"/>
        <v>19397.047442963052</v>
      </c>
      <c r="Z80" s="165">
        <f t="shared" si="79"/>
        <v>17316.903894011895</v>
      </c>
      <c r="AA80" s="165">
        <f t="shared" si="80"/>
        <v>15466.356430592034</v>
      </c>
      <c r="AB80" s="165">
        <f t="shared" si="81"/>
        <v>14194.575977047627</v>
      </c>
      <c r="AC80" s="165">
        <f t="shared" si="82"/>
        <v>13916.977636741785</v>
      </c>
      <c r="AD80" s="72">
        <f t="shared" si="83"/>
        <v>2.30075520101719</v>
      </c>
      <c r="AE80" s="73">
        <f t="shared" si="84"/>
        <v>1.8269286873675388</v>
      </c>
      <c r="AF80" s="73">
        <f t="shared" si="85"/>
        <v>1.4701152302621945</v>
      </c>
      <c r="AG80" s="73">
        <f t="shared" si="86"/>
        <v>1.256107995509737</v>
      </c>
      <c r="AH80" s="74">
        <f t="shared" si="87"/>
        <v>1.21250291318318</v>
      </c>
      <c r="AI80" s="28"/>
      <c r="BX80"/>
    </row>
    <row r="81" spans="1:76" ht="16.5">
      <c r="A81" s="18">
        <v>43</v>
      </c>
      <c r="B81" s="4">
        <v>-0.5973385358568848</v>
      </c>
      <c r="C81" s="11">
        <v>186.95603637908826</v>
      </c>
      <c r="D81" s="4">
        <v>-1.0854266139488287</v>
      </c>
      <c r="E81" s="4">
        <f t="shared" si="60"/>
        <v>1.2389367460399527</v>
      </c>
      <c r="F81" s="83">
        <f t="shared" si="61"/>
        <v>1.126256961313947</v>
      </c>
      <c r="G81" s="86">
        <f t="shared" si="62"/>
        <v>352.4978296094051</v>
      </c>
      <c r="H81" s="88">
        <f t="shared" si="63"/>
        <v>2.046526729104555</v>
      </c>
      <c r="I81" s="88">
        <f t="shared" si="64"/>
        <v>2.3359636974592557</v>
      </c>
      <c r="J81" s="57">
        <f t="shared" si="65"/>
        <v>0.2920072668564971</v>
      </c>
      <c r="K81" s="11">
        <f t="shared" si="66"/>
        <v>75.05143885991605</v>
      </c>
      <c r="L81" s="11">
        <f t="shared" si="67"/>
        <v>3890.615853519469</v>
      </c>
      <c r="M81" s="15">
        <f t="shared" si="68"/>
        <v>59.91869673682303</v>
      </c>
      <c r="N81" s="11">
        <f t="shared" si="69"/>
        <v>6689.1529645391565</v>
      </c>
      <c r="O81" s="11">
        <f t="shared" si="70"/>
        <v>16723.14316568744</v>
      </c>
      <c r="P81" s="11">
        <f t="shared" si="71"/>
        <v>1.7400696568409768</v>
      </c>
      <c r="Q81" s="121">
        <f t="shared" si="72"/>
        <v>27439.622188999645</v>
      </c>
      <c r="R81" s="90">
        <f t="shared" si="88"/>
        <v>0.2164675135813136</v>
      </c>
      <c r="S81" s="28"/>
      <c r="T81" s="79">
        <f t="shared" si="73"/>
        <v>0.4036940907666275</v>
      </c>
      <c r="U81" s="80">
        <f t="shared" si="74"/>
        <v>0.34171006023033745</v>
      </c>
      <c r="V81" s="80">
        <f t="shared" si="75"/>
        <v>0.2920072668564971</v>
      </c>
      <c r="W81" s="80">
        <f t="shared" si="76"/>
        <v>0.2616798708785911</v>
      </c>
      <c r="X81" s="81">
        <f t="shared" si="77"/>
        <v>0.25766276029089785</v>
      </c>
      <c r="Y81" s="165">
        <f t="shared" si="78"/>
        <v>19964.50276125151</v>
      </c>
      <c r="Z81" s="165">
        <f t="shared" si="79"/>
        <v>17891.09960744631</v>
      </c>
      <c r="AA81" s="165">
        <f t="shared" si="80"/>
        <v>16089.095267713421</v>
      </c>
      <c r="AB81" s="165">
        <f t="shared" si="81"/>
        <v>14915.605842312707</v>
      </c>
      <c r="AC81" s="165">
        <f t="shared" si="82"/>
        <v>14755.412349713275</v>
      </c>
      <c r="AD81" s="72">
        <f t="shared" si="83"/>
        <v>2.4448153597923263</v>
      </c>
      <c r="AE81" s="73">
        <f t="shared" si="84"/>
        <v>1.949593524030373</v>
      </c>
      <c r="AF81" s="73">
        <f t="shared" si="85"/>
        <v>1.5839011469203321</v>
      </c>
      <c r="AG81" s="73">
        <f t="shared" si="86"/>
        <v>1.3744974348608523</v>
      </c>
      <c r="AH81" s="74">
        <f t="shared" si="87"/>
        <v>1.347540818601</v>
      </c>
      <c r="AI81" s="28"/>
      <c r="BX81"/>
    </row>
    <row r="82" spans="1:76" ht="16.5">
      <c r="A82" s="18">
        <v>44</v>
      </c>
      <c r="B82" s="4">
        <v>-0.5899700995025388</v>
      </c>
      <c r="C82" s="11">
        <v>192.78678151772814</v>
      </c>
      <c r="D82" s="4">
        <v>-1.1637762674259693</v>
      </c>
      <c r="E82" s="4">
        <f t="shared" si="60"/>
        <v>1.3047758117511823</v>
      </c>
      <c r="F82" s="83">
        <f t="shared" si="61"/>
        <v>1.1123640810794977</v>
      </c>
      <c r="G82" s="86">
        <f t="shared" si="62"/>
        <v>363.49145702140584</v>
      </c>
      <c r="H82" s="88">
        <f t="shared" si="63"/>
        <v>2.194251741552617</v>
      </c>
      <c r="I82" s="88">
        <f t="shared" si="64"/>
        <v>2.4601005170891956</v>
      </c>
      <c r="J82" s="57">
        <f t="shared" si="65"/>
        <v>0.3075249966293627</v>
      </c>
      <c r="K82" s="11">
        <f t="shared" si="66"/>
        <v>73.21127320954233</v>
      </c>
      <c r="L82" s="11">
        <f t="shared" si="67"/>
        <v>3840.988371862854</v>
      </c>
      <c r="M82" s="15">
        <f t="shared" si="68"/>
        <v>68.88115482796839</v>
      </c>
      <c r="N82" s="11">
        <f t="shared" si="69"/>
        <v>7383.633143175654</v>
      </c>
      <c r="O82" s="11">
        <f t="shared" si="70"/>
        <v>17319.312583580417</v>
      </c>
      <c r="P82" s="11">
        <f t="shared" si="71"/>
        <v>1.859302267488129</v>
      </c>
      <c r="Q82" s="121">
        <f t="shared" si="72"/>
        <v>28687.88582892392</v>
      </c>
      <c r="R82" s="90">
        <f t="shared" si="88"/>
        <v>0.22631489867164817</v>
      </c>
      <c r="S82" s="28"/>
      <c r="T82" s="79">
        <f t="shared" si="73"/>
        <v>0.4183625720204252</v>
      </c>
      <c r="U82" s="80">
        <f t="shared" si="74"/>
        <v>0.3563436942130806</v>
      </c>
      <c r="V82" s="80">
        <f t="shared" si="75"/>
        <v>0.3075249966293627</v>
      </c>
      <c r="W82" s="80">
        <f t="shared" si="76"/>
        <v>0.27892584517562646</v>
      </c>
      <c r="X82" s="81">
        <f t="shared" si="77"/>
        <v>0.27688416182687203</v>
      </c>
      <c r="Y82" s="165">
        <f t="shared" si="78"/>
        <v>20431.139256133953</v>
      </c>
      <c r="Z82" s="165">
        <f t="shared" si="79"/>
        <v>18396.56476826628</v>
      </c>
      <c r="AA82" s="165">
        <f t="shared" si="80"/>
        <v>16666.801761251143</v>
      </c>
      <c r="AB82" s="165">
        <f t="shared" si="81"/>
        <v>15590.444821444496</v>
      </c>
      <c r="AC82" s="165">
        <f t="shared" si="82"/>
        <v>15511.612310806204</v>
      </c>
      <c r="AD82" s="72">
        <f t="shared" si="83"/>
        <v>2.568371018167042</v>
      </c>
      <c r="AE82" s="73">
        <f t="shared" si="84"/>
        <v>2.0625885622370332</v>
      </c>
      <c r="AF82" s="73">
        <f t="shared" si="85"/>
        <v>1.6950726869559227</v>
      </c>
      <c r="AG82" s="73">
        <f t="shared" si="86"/>
        <v>1.4923004741619803</v>
      </c>
      <c r="AH82" s="74">
        <f t="shared" si="87"/>
        <v>1.4781785959186657</v>
      </c>
      <c r="AI82" s="28"/>
      <c r="BX82"/>
    </row>
    <row r="83" spans="1:76" ht="16.5">
      <c r="A83" s="18">
        <v>45</v>
      </c>
      <c r="B83" s="4">
        <v>-0.5820132667816189</v>
      </c>
      <c r="C83" s="11">
        <v>196.4470854530454</v>
      </c>
      <c r="D83" s="4">
        <v>-1.239075168627491</v>
      </c>
      <c r="E83" s="4">
        <f t="shared" si="60"/>
        <v>1.3689582594875043</v>
      </c>
      <c r="F83" s="83">
        <f t="shared" si="61"/>
        <v>1.0973618039719424</v>
      </c>
      <c r="G83" s="86">
        <f t="shared" si="62"/>
        <v>370.3928078303943</v>
      </c>
      <c r="H83" s="88">
        <f t="shared" si="63"/>
        <v>2.336224687489967</v>
      </c>
      <c r="I83" s="88">
        <f t="shared" si="64"/>
        <v>2.58111385243932</v>
      </c>
      <c r="J83" s="57">
        <f t="shared" si="65"/>
        <v>0.3226522750828819</v>
      </c>
      <c r="K83" s="11">
        <f t="shared" si="66"/>
        <v>71.24981241333387</v>
      </c>
      <c r="L83" s="11">
        <f t="shared" si="67"/>
        <v>3774.150444396215</v>
      </c>
      <c r="M83" s="15">
        <f t="shared" si="68"/>
        <v>78.08304372848727</v>
      </c>
      <c r="N83" s="11">
        <f t="shared" si="69"/>
        <v>8090.4328225635945</v>
      </c>
      <c r="O83" s="11">
        <f t="shared" si="70"/>
        <v>17870.792808079903</v>
      </c>
      <c r="P83" s="11">
        <f t="shared" si="71"/>
        <v>1.9746948249676517</v>
      </c>
      <c r="Q83" s="121">
        <f t="shared" si="72"/>
        <v>29886.6836260065</v>
      </c>
      <c r="R83" s="90">
        <f t="shared" si="88"/>
        <v>0.2357720543363225</v>
      </c>
      <c r="S83" s="28"/>
      <c r="T83" s="79">
        <f t="shared" si="73"/>
        <v>0.431296681750694</v>
      </c>
      <c r="U83" s="80">
        <f t="shared" si="74"/>
        <v>0.37005721730539304</v>
      </c>
      <c r="V83" s="80">
        <f t="shared" si="75"/>
        <v>0.3226522750828819</v>
      </c>
      <c r="W83" s="80">
        <f t="shared" si="76"/>
        <v>0.29580951184538656</v>
      </c>
      <c r="X83" s="81">
        <f t="shared" si="77"/>
        <v>0.2951926051342573</v>
      </c>
      <c r="Y83" s="165">
        <f t="shared" si="78"/>
        <v>20835.742392116572</v>
      </c>
      <c r="Z83" s="165">
        <f t="shared" si="79"/>
        <v>18860.918873160233</v>
      </c>
      <c r="AA83" s="165">
        <f t="shared" si="80"/>
        <v>17216.427103389073</v>
      </c>
      <c r="AB83" s="165">
        <f t="shared" si="81"/>
        <v>16232.000519655623</v>
      </c>
      <c r="AC83" s="165">
        <f t="shared" si="82"/>
        <v>16208.875152078012</v>
      </c>
      <c r="AD83" s="72">
        <f t="shared" si="83"/>
        <v>2.6793376987646162</v>
      </c>
      <c r="AE83" s="73">
        <f t="shared" si="84"/>
        <v>2.170678364356502</v>
      </c>
      <c r="AF83" s="73">
        <f t="shared" si="85"/>
        <v>1.8060698841557168</v>
      </c>
      <c r="AG83" s="73">
        <f t="shared" si="86"/>
        <v>1.6108890117108945</v>
      </c>
      <c r="AH83" s="74">
        <f t="shared" si="87"/>
        <v>1.6064991658505285</v>
      </c>
      <c r="AI83" s="28"/>
      <c r="BX83"/>
    </row>
    <row r="84" spans="1:76" ht="16.5">
      <c r="A84" s="18">
        <v>46</v>
      </c>
      <c r="B84" s="4">
        <v>-0.5731696417058778</v>
      </c>
      <c r="C84" s="11">
        <v>198.3951260814957</v>
      </c>
      <c r="D84" s="4">
        <v>-1.3126336149754054</v>
      </c>
      <c r="E84" s="4">
        <f t="shared" si="60"/>
        <v>1.4323164613089683</v>
      </c>
      <c r="F84" s="83">
        <f t="shared" si="61"/>
        <v>1.0806875167680938</v>
      </c>
      <c r="G84" s="86">
        <f t="shared" si="62"/>
        <v>374.06575740088743</v>
      </c>
      <c r="H84" s="88">
        <f t="shared" si="63"/>
        <v>2.474916078200151</v>
      </c>
      <c r="I84" s="88">
        <f t="shared" si="64"/>
        <v>2.7005731064038994</v>
      </c>
      <c r="J84" s="57">
        <f t="shared" si="65"/>
        <v>0.3375852855097366</v>
      </c>
      <c r="K84" s="11">
        <f t="shared" si="66"/>
        <v>69.10099738009967</v>
      </c>
      <c r="L84" s="11">
        <f t="shared" si="67"/>
        <v>3689.131735259444</v>
      </c>
      <c r="M84" s="15">
        <f t="shared" si="68"/>
        <v>87.62912402369962</v>
      </c>
      <c r="N84" s="11">
        <f t="shared" si="69"/>
        <v>8816.63284199841</v>
      </c>
      <c r="O84" s="11">
        <f t="shared" si="70"/>
        <v>18390.784246509844</v>
      </c>
      <c r="P84" s="11">
        <f t="shared" si="71"/>
        <v>2.0882731211846766</v>
      </c>
      <c r="Q84" s="121">
        <f t="shared" si="72"/>
        <v>31055.367218292682</v>
      </c>
      <c r="R84" s="90">
        <f t="shared" si="88"/>
        <v>0.24499164306254362</v>
      </c>
      <c r="S84" s="28"/>
      <c r="T84" s="79">
        <f t="shared" si="73"/>
        <v>0.44300674251397104</v>
      </c>
      <c r="U84" s="80">
        <f t="shared" si="74"/>
        <v>0.3831830864631938</v>
      </c>
      <c r="V84" s="80">
        <f t="shared" si="75"/>
        <v>0.3375852855097366</v>
      </c>
      <c r="W84" s="80">
        <f t="shared" si="76"/>
        <v>0.31250378499553044</v>
      </c>
      <c r="X84" s="81">
        <f t="shared" si="77"/>
        <v>0.31291156847100804</v>
      </c>
      <c r="Y84" s="165">
        <f t="shared" si="78"/>
        <v>21196.748566336544</v>
      </c>
      <c r="Z84" s="165">
        <f t="shared" si="79"/>
        <v>19297.350570806477</v>
      </c>
      <c r="AA84" s="165">
        <f t="shared" si="80"/>
        <v>17746.688322883503</v>
      </c>
      <c r="AB84" s="165">
        <f t="shared" si="81"/>
        <v>16849.13168508156</v>
      </c>
      <c r="AC84" s="165">
        <f t="shared" si="82"/>
        <v>16864.002087441142</v>
      </c>
      <c r="AD84" s="72">
        <f t="shared" si="83"/>
        <v>2.7814356090140926</v>
      </c>
      <c r="AE84" s="73">
        <f t="shared" si="84"/>
        <v>2.276129547511106</v>
      </c>
      <c r="AF84" s="73">
        <f t="shared" si="85"/>
        <v>1.9181814558275314</v>
      </c>
      <c r="AG84" s="73">
        <f t="shared" si="86"/>
        <v>1.7313189239393656</v>
      </c>
      <c r="AH84" s="74">
        <f t="shared" si="87"/>
        <v>1.7343000696312885</v>
      </c>
      <c r="AI84" s="28"/>
      <c r="BX84"/>
    </row>
    <row r="85" spans="1:76" ht="16.5">
      <c r="A85" s="18">
        <v>47</v>
      </c>
      <c r="B85" s="4">
        <v>-0.5638422032320918</v>
      </c>
      <c r="C85" s="11">
        <v>198.77989350058206</v>
      </c>
      <c r="D85" s="4">
        <v>-1.3853539176118572</v>
      </c>
      <c r="E85" s="4">
        <f t="shared" si="60"/>
        <v>1.495701677203091</v>
      </c>
      <c r="F85" s="83">
        <f t="shared" si="61"/>
        <v>1.0631010195278656</v>
      </c>
      <c r="G85" s="86">
        <f t="shared" si="62"/>
        <v>374.7912203640481</v>
      </c>
      <c r="H85" s="88">
        <f t="shared" si="63"/>
        <v>2.612027183807414</v>
      </c>
      <c r="I85" s="88">
        <f t="shared" si="64"/>
        <v>2.820083294278748</v>
      </c>
      <c r="J85" s="57">
        <f t="shared" si="65"/>
        <v>0.3525246629327668</v>
      </c>
      <c r="K85" s="11">
        <f t="shared" si="66"/>
        <v>66.87027595453937</v>
      </c>
      <c r="L85" s="11">
        <f t="shared" si="67"/>
        <v>3591.2508892963315</v>
      </c>
      <c r="M85" s="15">
        <f t="shared" si="68"/>
        <v>97.6074351848376</v>
      </c>
      <c r="N85" s="11">
        <f t="shared" si="69"/>
        <v>9571.096348233003</v>
      </c>
      <c r="O85" s="11">
        <f t="shared" si="70"/>
        <v>18889.140751043462</v>
      </c>
      <c r="P85" s="11">
        <f t="shared" si="71"/>
        <v>2.201743925830003</v>
      </c>
      <c r="Q85" s="121">
        <f t="shared" si="72"/>
        <v>32218.167443638</v>
      </c>
      <c r="R85" s="90">
        <f t="shared" si="88"/>
        <v>0.25416481869297197</v>
      </c>
      <c r="S85" s="28"/>
      <c r="T85" s="79">
        <f t="shared" si="73"/>
        <v>0.45385792198590647</v>
      </c>
      <c r="U85" s="80">
        <f t="shared" si="74"/>
        <v>0.39600259581075425</v>
      </c>
      <c r="V85" s="80">
        <f t="shared" si="75"/>
        <v>0.3525246629327668</v>
      </c>
      <c r="W85" s="80">
        <f t="shared" si="76"/>
        <v>0.3291713225819968</v>
      </c>
      <c r="X85" s="81">
        <f t="shared" si="77"/>
        <v>0.33023994427145836</v>
      </c>
      <c r="Y85" s="165">
        <f t="shared" si="78"/>
        <v>21526.94575412487</v>
      </c>
      <c r="Z85" s="165">
        <f t="shared" si="79"/>
        <v>19716.379716898082</v>
      </c>
      <c r="AA85" s="165">
        <f t="shared" si="80"/>
        <v>18265.663846129042</v>
      </c>
      <c r="AB85" s="165">
        <f t="shared" si="81"/>
        <v>17449.37352190437</v>
      </c>
      <c r="AC85" s="165">
        <f t="shared" si="82"/>
        <v>17487.340916160952</v>
      </c>
      <c r="AD85" s="72">
        <f t="shared" si="83"/>
        <v>2.8774302590766285</v>
      </c>
      <c r="AE85" s="73">
        <f t="shared" si="84"/>
        <v>2.381001376712606</v>
      </c>
      <c r="AF85" s="73">
        <f t="shared" si="85"/>
        <v>2.0328658550341006</v>
      </c>
      <c r="AG85" s="73">
        <f t="shared" si="86"/>
        <v>1.8547021570796598</v>
      </c>
      <c r="AH85" s="74">
        <f t="shared" si="87"/>
        <v>1.8627199812470199</v>
      </c>
      <c r="AI85" s="28"/>
      <c r="BX85"/>
    </row>
    <row r="86" spans="1:76" ht="16.5">
      <c r="A86" s="18">
        <v>48</v>
      </c>
      <c r="B86" s="4">
        <v>-0.553885694261746</v>
      </c>
      <c r="C86" s="11">
        <v>197.80678894011174</v>
      </c>
      <c r="D86" s="4">
        <v>-1.4583924395940684</v>
      </c>
      <c r="E86" s="4">
        <f t="shared" si="60"/>
        <v>1.5600313683298022</v>
      </c>
      <c r="F86" s="83">
        <f t="shared" si="61"/>
        <v>1.044328436034402</v>
      </c>
      <c r="G86" s="86">
        <f t="shared" si="62"/>
        <v>372.95647219441287</v>
      </c>
      <c r="H86" s="88">
        <f t="shared" si="63"/>
        <v>2.749738278753841</v>
      </c>
      <c r="I86" s="88">
        <f t="shared" si="64"/>
        <v>2.941374250916431</v>
      </c>
      <c r="J86" s="57">
        <f t="shared" si="65"/>
        <v>0.367686645450176</v>
      </c>
      <c r="K86" s="11">
        <f t="shared" si="66"/>
        <v>64.52949305216848</v>
      </c>
      <c r="L86" s="11">
        <f t="shared" si="67"/>
        <v>3480.4002486375484</v>
      </c>
      <c r="M86" s="15">
        <f t="shared" si="68"/>
        <v>108.17084820195451</v>
      </c>
      <c r="N86" s="11">
        <f t="shared" si="69"/>
        <v>10365.032106235598</v>
      </c>
      <c r="O86" s="11">
        <f t="shared" si="70"/>
        <v>19376.067160979634</v>
      </c>
      <c r="P86" s="11">
        <f t="shared" si="71"/>
        <v>2.3172332776381017</v>
      </c>
      <c r="Q86" s="121">
        <f t="shared" si="72"/>
        <v>33396.51709038454</v>
      </c>
      <c r="R86" s="90">
        <f t="shared" si="88"/>
        <v>0.26346066163146914</v>
      </c>
      <c r="S86" s="28"/>
      <c r="T86" s="79">
        <f t="shared" si="73"/>
        <v>0.4642125018231281</v>
      </c>
      <c r="U86" s="80">
        <f t="shared" si="74"/>
        <v>0.4087936797813333</v>
      </c>
      <c r="V86" s="80">
        <f t="shared" si="75"/>
        <v>0.367686645450176</v>
      </c>
      <c r="W86" s="80">
        <f t="shared" si="76"/>
        <v>0.3460301095115977</v>
      </c>
      <c r="X86" s="81">
        <f t="shared" si="77"/>
        <v>0.34748003535135324</v>
      </c>
      <c r="Y86" s="165">
        <f t="shared" si="78"/>
        <v>21838.28135548086</v>
      </c>
      <c r="Z86" s="165">
        <f t="shared" si="79"/>
        <v>20127.693474465188</v>
      </c>
      <c r="AA86" s="165">
        <f t="shared" si="80"/>
        <v>18781.273106191198</v>
      </c>
      <c r="AB86" s="165">
        <f t="shared" si="81"/>
        <v>18041.422431717445</v>
      </c>
      <c r="AC86" s="165">
        <f t="shared" si="82"/>
        <v>18091.665437043484</v>
      </c>
      <c r="AD86" s="72">
        <f t="shared" si="83"/>
        <v>2.9702741213223423</v>
      </c>
      <c r="AE86" s="73">
        <f t="shared" si="84"/>
        <v>2.487494159066849</v>
      </c>
      <c r="AF86" s="73">
        <f t="shared" si="85"/>
        <v>2.151841409555959</v>
      </c>
      <c r="AG86" s="73">
        <f t="shared" si="86"/>
        <v>1.9826991141086354</v>
      </c>
      <c r="AH86" s="74">
        <f t="shared" si="87"/>
        <v>1.9938575841367248</v>
      </c>
      <c r="AI86" s="28"/>
      <c r="BX86"/>
    </row>
    <row r="87" spans="1:76" ht="16.5">
      <c r="A87" s="18">
        <v>49</v>
      </c>
      <c r="B87" s="4">
        <v>-0.5431440402046857</v>
      </c>
      <c r="C87" s="11">
        <v>195.4771629223311</v>
      </c>
      <c r="D87" s="4">
        <v>-1.5324290050316072</v>
      </c>
      <c r="E87" s="4">
        <f t="shared" si="60"/>
        <v>1.6258364320779723</v>
      </c>
      <c r="F87" s="83">
        <f t="shared" si="61"/>
        <v>1.0240754941403452</v>
      </c>
      <c r="G87" s="86">
        <f t="shared" si="62"/>
        <v>368.56405924549813</v>
      </c>
      <c r="H87" s="88">
        <f t="shared" si="63"/>
        <v>2.88933114311875</v>
      </c>
      <c r="I87" s="88">
        <f t="shared" si="64"/>
        <v>3.065446961259434</v>
      </c>
      <c r="J87" s="57">
        <f t="shared" si="65"/>
        <v>0.38319636123820144</v>
      </c>
      <c r="K87" s="11">
        <f t="shared" si="66"/>
        <v>62.05088693530453</v>
      </c>
      <c r="L87" s="11">
        <f t="shared" si="67"/>
        <v>3355.4593367013345</v>
      </c>
      <c r="M87" s="15">
        <f t="shared" si="68"/>
        <v>119.43239837888045</v>
      </c>
      <c r="N87" s="11">
        <f t="shared" si="69"/>
        <v>11206.232462220774</v>
      </c>
      <c r="O87" s="11">
        <f t="shared" si="70"/>
        <v>19856.946267766943</v>
      </c>
      <c r="P87" s="11">
        <f t="shared" si="71"/>
        <v>2.435980405591652</v>
      </c>
      <c r="Q87" s="121">
        <f t="shared" si="72"/>
        <v>34602.557332408825</v>
      </c>
      <c r="R87" s="90">
        <f t="shared" si="88"/>
        <v>0.27297495197671534</v>
      </c>
      <c r="S87" s="28"/>
      <c r="T87" s="79">
        <f t="shared" si="73"/>
        <v>0.4742387367281189</v>
      </c>
      <c r="U87" s="80">
        <f t="shared" si="74"/>
        <v>0.4217019893692512</v>
      </c>
      <c r="V87" s="80">
        <f t="shared" si="75"/>
        <v>0.38319636123820144</v>
      </c>
      <c r="W87" s="80">
        <f t="shared" si="76"/>
        <v>0.36321210015378663</v>
      </c>
      <c r="X87" s="81">
        <f t="shared" si="77"/>
        <v>0.3648058430641738</v>
      </c>
      <c r="Y87" s="165">
        <f t="shared" si="78"/>
        <v>22136.366591340975</v>
      </c>
      <c r="Z87" s="165">
        <f t="shared" si="79"/>
        <v>20536.205615123417</v>
      </c>
      <c r="AA87" s="165">
        <f t="shared" si="80"/>
        <v>19297.78811088437</v>
      </c>
      <c r="AB87" s="165">
        <f t="shared" si="81"/>
        <v>18630.233738555722</v>
      </c>
      <c r="AC87" s="165">
        <f t="shared" si="82"/>
        <v>18684.137282930238</v>
      </c>
      <c r="AD87" s="72">
        <f t="shared" si="83"/>
        <v>3.0613300671222854</v>
      </c>
      <c r="AE87" s="73">
        <f t="shared" si="84"/>
        <v>2.5968398720492294</v>
      </c>
      <c r="AF87" s="73">
        <f t="shared" si="85"/>
        <v>2.2762371818455773</v>
      </c>
      <c r="AG87" s="73">
        <f t="shared" si="86"/>
        <v>2.1164592328029013</v>
      </c>
      <c r="AH87" s="74">
        <f t="shared" si="87"/>
        <v>2.129035674138266</v>
      </c>
      <c r="AI87" s="28"/>
      <c r="BX87"/>
    </row>
    <row r="88" spans="1:76" ht="16.5">
      <c r="A88" s="18">
        <v>50</v>
      </c>
      <c r="B88" s="4">
        <v>-0.5318523069431151</v>
      </c>
      <c r="C88" s="11">
        <v>191.67859495808676</v>
      </c>
      <c r="D88" s="4">
        <v>-1.6083404901146503</v>
      </c>
      <c r="E88" s="4">
        <f t="shared" si="60"/>
        <v>1.6939970509251032</v>
      </c>
      <c r="F88" s="83">
        <f t="shared" si="61"/>
        <v>1.0027854007883388</v>
      </c>
      <c r="G88" s="86">
        <f t="shared" si="62"/>
        <v>361.4020173614645</v>
      </c>
      <c r="H88" s="88">
        <f t="shared" si="63"/>
        <v>3.0324590904824893</v>
      </c>
      <c r="I88" s="88">
        <f t="shared" si="64"/>
        <v>3.1939609727553204</v>
      </c>
      <c r="J88" s="57">
        <f t="shared" si="65"/>
        <v>0.3992612621142275</v>
      </c>
      <c r="K88" s="11">
        <f t="shared" si="66"/>
        <v>59.497682703463774</v>
      </c>
      <c r="L88" s="11">
        <f t="shared" si="67"/>
        <v>3218.907069405435</v>
      </c>
      <c r="M88" s="15">
        <f t="shared" si="68"/>
        <v>131.55804698850693</v>
      </c>
      <c r="N88" s="11">
        <f t="shared" si="69"/>
        <v>12108.132631122988</v>
      </c>
      <c r="O88" s="11">
        <f t="shared" si="70"/>
        <v>20338.669423230574</v>
      </c>
      <c r="P88" s="11">
        <f t="shared" si="71"/>
        <v>2.5598382545540495</v>
      </c>
      <c r="Q88" s="121">
        <f t="shared" si="72"/>
        <v>35859.324691705515</v>
      </c>
      <c r="R88" s="90">
        <f t="shared" si="88"/>
        <v>0.28288942177310233</v>
      </c>
      <c r="S88" s="28"/>
      <c r="T88" s="79">
        <f t="shared" si="73"/>
        <v>0.4841559432815287</v>
      </c>
      <c r="U88" s="80">
        <f t="shared" si="74"/>
        <v>0.4349474571129123</v>
      </c>
      <c r="V88" s="80">
        <f t="shared" si="75"/>
        <v>0.3992612621142275</v>
      </c>
      <c r="W88" s="80">
        <f t="shared" si="76"/>
        <v>0.3809170150347692</v>
      </c>
      <c r="X88" s="81">
        <f t="shared" si="77"/>
        <v>0.382418541918206</v>
      </c>
      <c r="Y88" s="165">
        <f t="shared" si="78"/>
        <v>22428.0410718573</v>
      </c>
      <c r="Z88" s="165">
        <f t="shared" si="79"/>
        <v>20948.82230988702</v>
      </c>
      <c r="AA88" s="165">
        <f t="shared" si="80"/>
        <v>19821.797692399665</v>
      </c>
      <c r="AB88" s="165">
        <f t="shared" si="81"/>
        <v>19222.54796584748</v>
      </c>
      <c r="AC88" s="165">
        <f t="shared" si="82"/>
        <v>19272.13807616142</v>
      </c>
      <c r="AD88" s="72">
        <f t="shared" si="83"/>
        <v>3.1525149015849543</v>
      </c>
      <c r="AE88" s="73">
        <f t="shared" si="84"/>
        <v>2.711001677955542</v>
      </c>
      <c r="AF88" s="73">
        <f t="shared" si="85"/>
        <v>2.4079558046310465</v>
      </c>
      <c r="AG88" s="73">
        <f t="shared" si="86"/>
        <v>2.257785045175072</v>
      </c>
      <c r="AH88" s="74">
        <f t="shared" si="87"/>
        <v>2.269933843423633</v>
      </c>
      <c r="AI88" s="28"/>
      <c r="BX88"/>
    </row>
    <row r="89" spans="1:76" ht="16.5">
      <c r="A89" s="18">
        <v>51</v>
      </c>
      <c r="B89" s="4">
        <v>-0.5197396600150359</v>
      </c>
      <c r="C89" s="11">
        <v>186.28593034491297</v>
      </c>
      <c r="D89" s="4">
        <v>-1.68723168296781</v>
      </c>
      <c r="E89" s="4">
        <f t="shared" si="60"/>
        <v>1.7654687950238412</v>
      </c>
      <c r="F89" s="83">
        <f t="shared" si="61"/>
        <v>0.9799475088664357</v>
      </c>
      <c r="G89" s="86">
        <f t="shared" si="62"/>
        <v>351.23437255698883</v>
      </c>
      <c r="H89" s="88">
        <f t="shared" si="63"/>
        <v>3.1812051528971197</v>
      </c>
      <c r="I89" s="88">
        <f t="shared" si="64"/>
        <v>3.3287179731771688</v>
      </c>
      <c r="J89" s="57">
        <f t="shared" si="65"/>
        <v>0.41610656815462677</v>
      </c>
      <c r="K89" s="11">
        <f t="shared" si="66"/>
        <v>56.81848800834628</v>
      </c>
      <c r="L89" s="11">
        <f t="shared" si="67"/>
        <v>3068.2397722770193</v>
      </c>
      <c r="M89" s="15">
        <f t="shared" si="68"/>
        <v>144.78076622750564</v>
      </c>
      <c r="N89" s="11">
        <f t="shared" si="69"/>
        <v>13086.840857392728</v>
      </c>
      <c r="O89" s="11">
        <f t="shared" si="70"/>
        <v>20828.509732706505</v>
      </c>
      <c r="P89" s="11">
        <f t="shared" si="71"/>
        <v>2.691032783131708</v>
      </c>
      <c r="Q89" s="121">
        <f t="shared" si="72"/>
        <v>37187.88064939523</v>
      </c>
      <c r="R89" s="90">
        <f t="shared" si="88"/>
        <v>0.2933702222314274</v>
      </c>
      <c r="S89" s="28"/>
      <c r="T89" s="79">
        <f t="shared" si="73"/>
        <v>0.49417722175009154</v>
      </c>
      <c r="U89" s="80">
        <f t="shared" si="74"/>
        <v>0.44875126744078186</v>
      </c>
      <c r="V89" s="80">
        <f t="shared" si="75"/>
        <v>0.41610656815462677</v>
      </c>
      <c r="W89" s="80">
        <f t="shared" si="76"/>
        <v>0.3993896025083502</v>
      </c>
      <c r="X89" s="81">
        <f t="shared" si="77"/>
        <v>0.4005993455071774</v>
      </c>
      <c r="Y89" s="165">
        <f t="shared" si="78"/>
        <v>22719.669984412205</v>
      </c>
      <c r="Z89" s="165">
        <f t="shared" si="79"/>
        <v>21372.06149302621</v>
      </c>
      <c r="AA89" s="165">
        <f t="shared" si="80"/>
        <v>20359.91808306677</v>
      </c>
      <c r="AB89" s="165">
        <f t="shared" si="81"/>
        <v>19825.940576573714</v>
      </c>
      <c r="AC89" s="165">
        <f t="shared" si="82"/>
        <v>19864.95852645363</v>
      </c>
      <c r="AD89" s="72">
        <f t="shared" si="83"/>
        <v>3.245787157976963</v>
      </c>
      <c r="AE89" s="73">
        <f t="shared" si="84"/>
        <v>2.8320884057623448</v>
      </c>
      <c r="AF89" s="73">
        <f t="shared" si="85"/>
        <v>2.5492097910411937</v>
      </c>
      <c r="AG89" s="73">
        <f t="shared" si="86"/>
        <v>2.4090198462349273</v>
      </c>
      <c r="AH89" s="74">
        <f t="shared" si="87"/>
        <v>2.419058714643112</v>
      </c>
      <c r="AI89" s="28"/>
      <c r="BX89"/>
    </row>
    <row r="90" spans="1:76" ht="16.5">
      <c r="A90" s="18">
        <v>52</v>
      </c>
      <c r="B90" s="4">
        <v>-0.507115608884023</v>
      </c>
      <c r="C90" s="11">
        <v>179.04529282170077</v>
      </c>
      <c r="D90" s="4">
        <v>-1.7698720892038968</v>
      </c>
      <c r="E90" s="4">
        <f t="shared" si="60"/>
        <v>1.8410902891810548</v>
      </c>
      <c r="F90" s="83">
        <f t="shared" si="61"/>
        <v>0.9561453855932556</v>
      </c>
      <c r="G90" s="86">
        <f t="shared" si="62"/>
        <v>337.582451702476</v>
      </c>
      <c r="H90" s="88">
        <f t="shared" si="63"/>
        <v>3.3370202011857586</v>
      </c>
      <c r="I90" s="88">
        <f t="shared" si="64"/>
        <v>3.4712991547132774</v>
      </c>
      <c r="J90" s="57">
        <f t="shared" si="65"/>
        <v>0.43392993637341104</v>
      </c>
      <c r="K90" s="11">
        <f t="shared" si="66"/>
        <v>54.091859712579314</v>
      </c>
      <c r="L90" s="11">
        <f t="shared" si="67"/>
        <v>2906.3975308530307</v>
      </c>
      <c r="M90" s="15">
        <f t="shared" si="68"/>
        <v>159.31078870217075</v>
      </c>
      <c r="N90" s="11">
        <f t="shared" si="69"/>
        <v>14158.654202370142</v>
      </c>
      <c r="O90" s="11">
        <f t="shared" si="70"/>
        <v>21331.966085216256</v>
      </c>
      <c r="P90" s="11">
        <f t="shared" si="71"/>
        <v>2.831634418899651</v>
      </c>
      <c r="Q90" s="121">
        <f t="shared" si="72"/>
        <v>38613.25210127308</v>
      </c>
      <c r="R90" s="90">
        <f t="shared" si="88"/>
        <v>0.3046147871890848</v>
      </c>
      <c r="S90" s="28"/>
      <c r="T90" s="79">
        <f t="shared" si="73"/>
        <v>0.5045108215501101</v>
      </c>
      <c r="U90" s="80">
        <f t="shared" si="74"/>
        <v>0.46332433965790276</v>
      </c>
      <c r="V90" s="80">
        <f t="shared" si="75"/>
        <v>0.43392993637341104</v>
      </c>
      <c r="W90" s="80">
        <f t="shared" si="76"/>
        <v>0.418817868465482</v>
      </c>
      <c r="X90" s="81">
        <f t="shared" si="77"/>
        <v>0.41953437941871136</v>
      </c>
      <c r="Y90" s="165">
        <f t="shared" si="78"/>
        <v>23017.21426795981</v>
      </c>
      <c r="Z90" s="165">
        <f t="shared" si="79"/>
        <v>21811.717158115873</v>
      </c>
      <c r="AA90" s="165">
        <f t="shared" si="80"/>
        <v>20917.354252082845</v>
      </c>
      <c r="AB90" s="165">
        <f t="shared" si="81"/>
        <v>20445.489077476224</v>
      </c>
      <c r="AC90" s="165">
        <f t="shared" si="82"/>
        <v>20468.055670446538</v>
      </c>
      <c r="AD90" s="72">
        <f t="shared" si="83"/>
        <v>3.3431564209617317</v>
      </c>
      <c r="AE90" s="73">
        <f t="shared" si="84"/>
        <v>2.9622628853502637</v>
      </c>
      <c r="AF90" s="73">
        <f t="shared" si="85"/>
        <v>2.702161336349271</v>
      </c>
      <c r="AG90" s="73">
        <f t="shared" si="86"/>
        <v>2.5722450344251127</v>
      </c>
      <c r="AH90" s="74">
        <f t="shared" si="87"/>
        <v>2.5783464174118764</v>
      </c>
      <c r="AI90" s="28"/>
      <c r="BX90"/>
    </row>
    <row r="91" spans="1:76" ht="16.5">
      <c r="A91" s="18">
        <v>53</v>
      </c>
      <c r="B91" s="4">
        <v>-0.4933396757856654</v>
      </c>
      <c r="C91" s="11">
        <v>169.5704965161943</v>
      </c>
      <c r="D91" s="4">
        <v>-1.857988197278325</v>
      </c>
      <c r="E91" s="4">
        <f t="shared" si="60"/>
        <v>1.9223694173935106</v>
      </c>
      <c r="F91" s="83">
        <f t="shared" si="61"/>
        <v>0.930171436786548</v>
      </c>
      <c r="G91" s="86">
        <f t="shared" si="62"/>
        <v>319.7181174003192</v>
      </c>
      <c r="H91" s="88">
        <f t="shared" si="63"/>
        <v>3.5031594575127505</v>
      </c>
      <c r="I91" s="88">
        <f t="shared" si="64"/>
        <v>3.624547569914703</v>
      </c>
      <c r="J91" s="57">
        <f t="shared" si="65"/>
        <v>0.45308676270668435</v>
      </c>
      <c r="K91" s="11">
        <f t="shared" si="66"/>
        <v>51.19293681777558</v>
      </c>
      <c r="L91" s="11">
        <f t="shared" si="67"/>
        <v>2727.016596200946</v>
      </c>
      <c r="M91" s="15">
        <f t="shared" si="68"/>
        <v>175.56879498603107</v>
      </c>
      <c r="N91" s="11">
        <f t="shared" si="69"/>
        <v>15351.660800720732</v>
      </c>
      <c r="O91" s="11">
        <f t="shared" si="70"/>
        <v>21858.887017112393</v>
      </c>
      <c r="P91" s="11">
        <f t="shared" si="71"/>
        <v>2.985277231631622</v>
      </c>
      <c r="Q91" s="121">
        <f t="shared" si="72"/>
        <v>40167.31142306951</v>
      </c>
      <c r="R91" s="90">
        <f t="shared" si="88"/>
        <v>0.3168745535601392</v>
      </c>
      <c r="S91" s="28"/>
      <c r="T91" s="79">
        <f t="shared" si="73"/>
        <v>0.5154187232771289</v>
      </c>
      <c r="U91" s="80">
        <f t="shared" si="74"/>
        <v>0.4789813699132504</v>
      </c>
      <c r="V91" s="80">
        <f t="shared" si="75"/>
        <v>0.45308676270668435</v>
      </c>
      <c r="W91" s="80">
        <f t="shared" si="76"/>
        <v>0.4396019173670351</v>
      </c>
      <c r="X91" s="81">
        <f t="shared" si="77"/>
        <v>0.4396701563242891</v>
      </c>
      <c r="Y91" s="165">
        <f t="shared" si="78"/>
        <v>23327.903951642656</v>
      </c>
      <c r="Z91" s="165">
        <f t="shared" si="79"/>
        <v>22276.239317704385</v>
      </c>
      <c r="AA91" s="165">
        <f t="shared" si="80"/>
        <v>21503.61400006228</v>
      </c>
      <c r="AB91" s="165">
        <f t="shared" si="81"/>
        <v>21092.290111971462</v>
      </c>
      <c r="AC91" s="165">
        <f t="shared" si="82"/>
        <v>21094.387704181187</v>
      </c>
      <c r="AD91" s="72">
        <f t="shared" si="83"/>
        <v>3.447248056381403</v>
      </c>
      <c r="AE91" s="73">
        <f t="shared" si="84"/>
        <v>3.104797870113812</v>
      </c>
      <c r="AF91" s="73">
        <f t="shared" si="85"/>
        <v>2.8705642390887727</v>
      </c>
      <c r="AG91" s="73">
        <f t="shared" si="86"/>
        <v>2.7515895555103693</v>
      </c>
      <c r="AH91" s="74">
        <f t="shared" si="87"/>
        <v>2.7521864370637528</v>
      </c>
      <c r="AI91" s="28"/>
      <c r="BX91"/>
    </row>
    <row r="92" spans="1:76" ht="16.5">
      <c r="A92" s="18">
        <v>54</v>
      </c>
      <c r="B92" s="4">
        <v>-0.4787903408554657</v>
      </c>
      <c r="C92" s="11">
        <v>157.24990032700651</v>
      </c>
      <c r="D92" s="4">
        <v>-1.9528091483623131</v>
      </c>
      <c r="E92" s="4">
        <f t="shared" si="60"/>
        <v>2.010647597274081</v>
      </c>
      <c r="F92" s="83">
        <f t="shared" si="61"/>
        <v>0.9027392709978141</v>
      </c>
      <c r="G92" s="86">
        <f t="shared" si="62"/>
        <v>296.4881457968541</v>
      </c>
      <c r="H92" s="88">
        <f t="shared" si="63"/>
        <v>3.6819404164267038</v>
      </c>
      <c r="I92" s="88">
        <f t="shared" si="64"/>
        <v>3.790992405890324</v>
      </c>
      <c r="J92" s="57">
        <f t="shared" si="65"/>
        <v>0.4738932083241753</v>
      </c>
      <c r="K92" s="11">
        <f t="shared" si="66"/>
        <v>48.217947221647634</v>
      </c>
      <c r="L92" s="11">
        <f t="shared" si="67"/>
        <v>2533.4381237562816</v>
      </c>
      <c r="M92" s="15">
        <f t="shared" si="68"/>
        <v>193.94609002733444</v>
      </c>
      <c r="N92" s="11">
        <f t="shared" si="69"/>
        <v>16694.805431087407</v>
      </c>
      <c r="O92" s="11">
        <f t="shared" si="70"/>
        <v>22417.023349404757</v>
      </c>
      <c r="P92" s="11">
        <f t="shared" si="71"/>
        <v>3.1555524056601505</v>
      </c>
      <c r="Q92" s="121">
        <f t="shared" si="72"/>
        <v>41890.58649390309</v>
      </c>
      <c r="R92" s="90">
        <f t="shared" si="88"/>
        <v>0.3304692403685295</v>
      </c>
      <c r="S92" s="28"/>
      <c r="T92" s="79">
        <f t="shared" si="73"/>
        <v>0.5271980704603488</v>
      </c>
      <c r="U92" s="80">
        <f t="shared" si="74"/>
        <v>0.4960387759824685</v>
      </c>
      <c r="V92" s="80">
        <f t="shared" si="75"/>
        <v>0.4738932083241753</v>
      </c>
      <c r="W92" s="80">
        <f t="shared" si="76"/>
        <v>0.4620592195269987</v>
      </c>
      <c r="X92" s="81">
        <f t="shared" si="77"/>
        <v>0.4613310260979011</v>
      </c>
      <c r="Y92" s="165">
        <f t="shared" si="78"/>
        <v>23659.62540751106</v>
      </c>
      <c r="Z92" s="165">
        <f t="shared" si="79"/>
        <v>22773.506501266646</v>
      </c>
      <c r="AA92" s="165">
        <f t="shared" si="80"/>
        <v>22126.148009836957</v>
      </c>
      <c r="AB92" s="165">
        <f t="shared" si="81"/>
        <v>21773.833306562177</v>
      </c>
      <c r="AC92" s="165">
        <f t="shared" si="82"/>
        <v>21752.003521846946</v>
      </c>
      <c r="AD92" s="72">
        <f t="shared" si="83"/>
        <v>3.5611677497921645</v>
      </c>
      <c r="AE92" s="73">
        <f t="shared" si="84"/>
        <v>3.2632385848557584</v>
      </c>
      <c r="AF92" s="73">
        <f t="shared" si="85"/>
        <v>3.058173132294524</v>
      </c>
      <c r="AG92" s="73">
        <f t="shared" si="86"/>
        <v>2.950866896228916</v>
      </c>
      <c r="AH92" s="74">
        <f t="shared" si="87"/>
        <v>2.9443156651293894</v>
      </c>
      <c r="AI92" s="28"/>
      <c r="BX92"/>
    </row>
    <row r="93" spans="1:76" ht="16.5">
      <c r="A93" s="11">
        <f>J26</f>
        <v>55.21613681534294</v>
      </c>
      <c r="B93" s="4">
        <v>-0.4635021370273096</v>
      </c>
      <c r="C93" s="11">
        <v>140.2893426549694</v>
      </c>
      <c r="D93" s="4">
        <v>-2.0562244163677725</v>
      </c>
      <c r="E93" s="4">
        <f t="shared" si="60"/>
        <v>2.1078171366358776</v>
      </c>
      <c r="F93" s="83">
        <f t="shared" si="61"/>
        <v>0.8739139986373972</v>
      </c>
      <c r="G93" s="86">
        <f t="shared" si="62"/>
        <v>264.5097198302511</v>
      </c>
      <c r="H93" s="88">
        <f t="shared" si="63"/>
        <v>3.8769256023903322</v>
      </c>
      <c r="I93" s="88">
        <f t="shared" si="64"/>
        <v>3.9742015303056846</v>
      </c>
      <c r="J93" s="57">
        <f t="shared" si="65"/>
        <v>0.49679527471411516</v>
      </c>
      <c r="K93" s="11">
        <f t="shared" si="66"/>
        <v>45.187825008862916</v>
      </c>
      <c r="L93" s="11">
        <f t="shared" si="67"/>
        <v>2322.187428082476</v>
      </c>
      <c r="M93" s="15">
        <f t="shared" si="68"/>
        <v>215.03168115202917</v>
      </c>
      <c r="N93" s="11">
        <f t="shared" si="69"/>
        <v>18229.383731849903</v>
      </c>
      <c r="O93" s="11">
        <f t="shared" si="70"/>
        <v>23014.860486868638</v>
      </c>
      <c r="P93" s="11">
        <f t="shared" si="71"/>
        <v>3.3467896057439743</v>
      </c>
      <c r="Q93" s="121">
        <f t="shared" si="72"/>
        <v>43829.99794256765</v>
      </c>
      <c r="R93" s="90">
        <f>Q93*J$29*(A93-A92)</f>
        <v>0.420502408298639</v>
      </c>
      <c r="S93" s="28"/>
      <c r="T93" s="79">
        <f t="shared" si="73"/>
        <v>0.5398920319522426</v>
      </c>
      <c r="U93" s="80">
        <f t="shared" si="74"/>
        <v>0.5147856342596071</v>
      </c>
      <c r="V93" s="80">
        <f t="shared" si="75"/>
        <v>0.49679527471411516</v>
      </c>
      <c r="W93" s="80">
        <f t="shared" si="76"/>
        <v>0.48671068755487895</v>
      </c>
      <c r="X93" s="81">
        <f t="shared" si="77"/>
        <v>0.48502525134849983</v>
      </c>
      <c r="Y93" s="165">
        <f t="shared" si="78"/>
        <v>24012.841972514565</v>
      </c>
      <c r="Z93" s="165">
        <f t="shared" si="79"/>
        <v>23309.965009866948</v>
      </c>
      <c r="AA93" s="165">
        <f t="shared" si="80"/>
        <v>22795.354838223444</v>
      </c>
      <c r="AB93" s="165">
        <f t="shared" si="81"/>
        <v>22502.679477817648</v>
      </c>
      <c r="AC93" s="165">
        <f t="shared" si="82"/>
        <v>22453.461135920585</v>
      </c>
      <c r="AD93" s="72">
        <f t="shared" si="83"/>
        <v>3.685690539329363</v>
      </c>
      <c r="AE93" s="73">
        <f t="shared" si="84"/>
        <v>3.441169826681557</v>
      </c>
      <c r="AF93" s="73">
        <f t="shared" si="85"/>
        <v>3.2703417047232377</v>
      </c>
      <c r="AG93" s="73">
        <f t="shared" si="86"/>
        <v>3.1761850547890482</v>
      </c>
      <c r="AH93" s="74">
        <f t="shared" si="87"/>
        <v>3.160560903196667</v>
      </c>
      <c r="AI93" s="28"/>
      <c r="BX93"/>
    </row>
    <row r="94" spans="1:76" ht="6" customHeight="1">
      <c r="A94" s="11"/>
      <c r="B94" s="4"/>
      <c r="D94" s="4"/>
      <c r="E94" s="4"/>
      <c r="F94" s="83"/>
      <c r="G94" s="86"/>
      <c r="H94" s="88"/>
      <c r="I94" s="88"/>
      <c r="J94" s="57"/>
      <c r="L94" s="11"/>
      <c r="M94" s="15"/>
      <c r="N94" s="11"/>
      <c r="O94" s="11"/>
      <c r="P94" s="11"/>
      <c r="Q94" s="121"/>
      <c r="R94" s="90"/>
      <c r="S94" s="28"/>
      <c r="T94" s="79"/>
      <c r="U94" s="80"/>
      <c r="V94" s="80"/>
      <c r="W94" s="80"/>
      <c r="X94" s="81"/>
      <c r="Y94" s="165"/>
      <c r="Z94" s="165"/>
      <c r="AA94" s="165"/>
      <c r="AB94" s="165"/>
      <c r="AC94" s="165"/>
      <c r="AD94" s="64"/>
      <c r="AE94" s="65"/>
      <c r="AF94" s="65"/>
      <c r="AG94" s="65"/>
      <c r="AH94" s="66"/>
      <c r="AI94" s="28"/>
      <c r="BX94"/>
    </row>
    <row r="95" spans="1:76" ht="16.5">
      <c r="A95" s="11">
        <f>I27</f>
        <v>66.20526072708387</v>
      </c>
      <c r="B95" s="4">
        <v>-0.3268494801752908</v>
      </c>
      <c r="C95" s="11">
        <v>103.8678988060364</v>
      </c>
      <c r="D95" s="4">
        <v>-1.4315649793308114</v>
      </c>
      <c r="E95" s="4">
        <f aca="true" t="shared" si="89" ref="E95:E102">SQRT(B95^2+D95^2)</f>
        <v>1.468403511551673</v>
      </c>
      <c r="F95" s="83">
        <f aca="true" t="shared" si="90" ref="F95:F102">-B95*$E$29*(1-$E$33)/$E$30/$E$34</f>
        <v>0.6162610986100227</v>
      </c>
      <c r="G95" s="86">
        <f aca="true" t="shared" si="91" ref="G95:G102">C95*$E$29*(1-$E$33)/$E$30/$E$34</f>
        <v>195.83860250961374</v>
      </c>
      <c r="H95" s="88">
        <f aca="true" t="shared" si="92" ref="H95:H102">-D95*$E$29*(1-$E$33)/$E$30/$E$34</f>
        <v>2.6991562183941764</v>
      </c>
      <c r="I95" s="88">
        <f aca="true" t="shared" si="93" ref="I95:I102">E95*$E$29*(1-$E$33)/$E$30/$E$34</f>
        <v>2.7686137384900738</v>
      </c>
      <c r="J95" s="57">
        <f aca="true" t="shared" si="94" ref="J95:J102">E95*E$29/E$30</f>
        <v>0.34609070836039235</v>
      </c>
      <c r="K95" s="11">
        <f aca="true" t="shared" si="95" ref="K95:K102">L$33*E$14/120*F95^2/E$8*E$7*E$10*(E$10-1)*E$5/E$6</f>
        <v>22.470542301893822</v>
      </c>
      <c r="L95" s="11">
        <f aca="true" t="shared" si="96" ref="L95:L102">L$34*E$14/6*F95^2/E$9*E$7*E$5/E$6*(1+(G95*E$5/F95)^2/15)</f>
        <v>1169.681047836674</v>
      </c>
      <c r="M95" s="15">
        <f aca="true" t="shared" si="97" ref="M95:M102">L$35*E$14/8*H95^2/E$9*E$7*E$6/E$5</f>
        <v>104.22779687101112</v>
      </c>
      <c r="N95" s="11">
        <f aca="true" t="shared" si="98" ref="N95:N102">E$14*E$15*(E$12/E$11)^2*J95*(1-E$33)/E$34^2*(E$20/2/PI())^2/E$19*LN((E$18+E$19*J95)/(E$18+E$19*E$33*J95))</f>
        <v>9242.76561038125</v>
      </c>
      <c r="O95" s="11">
        <f aca="true" t="shared" si="99" ref="O95:O102">(Y95+Z95+AA95+AB95+AC95)/5</f>
        <v>18250.475030140296</v>
      </c>
      <c r="P95" s="11">
        <f aca="true" t="shared" si="100" ref="P95:P102">(AD95+AE95+AF95+AG95+AH95)/5</f>
        <v>2.032077153036513</v>
      </c>
      <c r="Q95" s="121">
        <f aca="true" t="shared" si="101" ref="Q95:Q102">SUM(K95:P95)</f>
        <v>28791.652104684163</v>
      </c>
      <c r="R95" s="90">
        <f>Q95*J$29*(A96-A95)</f>
        <v>0.18051191022745458</v>
      </c>
      <c r="S95" s="28"/>
      <c r="T95" s="79">
        <f aca="true" t="shared" si="102" ref="T95:T102">SQRT(($B95-$C95*0.8*$E$5)^2+$D95^2)*$E$29/$E$30</f>
        <v>0.37886245443128963</v>
      </c>
      <c r="U95" s="80">
        <f aca="true" t="shared" si="103" ref="U95:U102">SQRT(($B95-$C95*0.4*$E$5)^2+$D95^2)*$E$29/$E$30</f>
        <v>0.35970575631299534</v>
      </c>
      <c r="V95" s="80">
        <f aca="true" t="shared" si="104" ref="V95:V102">SQRT(($B95)^2+$D95^2)*$E$29/$E$30</f>
        <v>0.34609070836039235</v>
      </c>
      <c r="W95" s="80">
        <f aca="true" t="shared" si="105" ref="W95:W102">SQRT(($B95+$C95*0.4*$E$5)^2+$D95^2)*$E$29/$E$30</f>
        <v>0.3386862873571699</v>
      </c>
      <c r="X95" s="81">
        <f aca="true" t="shared" si="106" ref="X95:X102">SQRT(($B95+$C95*0.8*$E$5)^2+$D95^2)*$E$29/$E$30</f>
        <v>0.3379010204421702</v>
      </c>
      <c r="Y95" s="165">
        <f aca="true" t="shared" si="107" ref="Y95:AC102">$L$36*$E$14*$E$15*$E$17/$E$34*2/3*$E$21/PI()*($E$22*$E$23*LN((T95+$E$23)/($E$33*T95+$E$23))+$E$24*T95*(1-$E$33)+$E$25*T95^2/2*(1-$E$33^2))</f>
        <v>19154.533285431007</v>
      </c>
      <c r="Z95" s="165">
        <f t="shared" si="107"/>
        <v>18511.22378248715</v>
      </c>
      <c r="AA95" s="165">
        <f t="shared" si="107"/>
        <v>18043.524405750646</v>
      </c>
      <c r="AB95" s="165">
        <f t="shared" si="107"/>
        <v>17785.32042370412</v>
      </c>
      <c r="AC95" s="165">
        <f t="shared" si="107"/>
        <v>17757.773253328563</v>
      </c>
      <c r="AD95" s="72">
        <f aca="true" t="shared" si="108" ref="AD95:AH102">1/9/PI()*$E$21/$E$34*$E$28^2*T95*(3*T95+4*$E$27)/($E$26*$E$27*$E$14*$E$15*$E$17*16*$E$5^2*$E$6^2)</f>
        <v>2.2412030101533875</v>
      </c>
      <c r="AE95" s="73">
        <f t="shared" si="108"/>
        <v>2.0888913784816823</v>
      </c>
      <c r="AF95" s="73">
        <f t="shared" si="108"/>
        <v>1.983164999837064</v>
      </c>
      <c r="AG95" s="73">
        <f t="shared" si="108"/>
        <v>1.9265472578536018</v>
      </c>
      <c r="AH95" s="74">
        <f t="shared" si="108"/>
        <v>1.9205791188568282</v>
      </c>
      <c r="AI95" s="28"/>
      <c r="BX95"/>
    </row>
    <row r="96" spans="1:76" ht="16.5">
      <c r="A96" s="18">
        <v>67</v>
      </c>
      <c r="B96" s="4">
        <v>-0.3163960523853646</v>
      </c>
      <c r="C96" s="11">
        <v>116.97068031077002</v>
      </c>
      <c r="D96" s="4">
        <v>-1.5031113978909254</v>
      </c>
      <c r="E96" s="4">
        <f t="shared" si="89"/>
        <v>1.536050238903225</v>
      </c>
      <c r="F96" s="83">
        <f t="shared" si="90"/>
        <v>0.5965515953530325</v>
      </c>
      <c r="G96" s="86">
        <f t="shared" si="91"/>
        <v>220.54335198825362</v>
      </c>
      <c r="H96" s="88">
        <f t="shared" si="92"/>
        <v>2.8340540144066466</v>
      </c>
      <c r="I96" s="88">
        <f t="shared" si="93"/>
        <v>2.8961588289478666</v>
      </c>
      <c r="J96" s="57">
        <f t="shared" si="94"/>
        <v>0.3620344892102634</v>
      </c>
      <c r="K96" s="11">
        <f t="shared" si="95"/>
        <v>21.056203491726436</v>
      </c>
      <c r="L96" s="11">
        <f t="shared" si="96"/>
        <v>1149.297339175815</v>
      </c>
      <c r="M96" s="15">
        <f t="shared" si="97"/>
        <v>114.90627940859433</v>
      </c>
      <c r="N96" s="11">
        <f t="shared" si="98"/>
        <v>10065.76270237486</v>
      </c>
      <c r="O96" s="11">
        <f t="shared" si="99"/>
        <v>18837.50479845578</v>
      </c>
      <c r="P96" s="11">
        <f t="shared" si="100"/>
        <v>2.168058884364604</v>
      </c>
      <c r="Q96" s="121">
        <f t="shared" si="101"/>
        <v>30190.695381791138</v>
      </c>
      <c r="R96" s="90">
        <f aca="true" t="shared" si="109" ref="R96:R101">Q96*J$29</f>
        <v>0.23817036246246617</v>
      </c>
      <c r="S96" s="28"/>
      <c r="T96" s="79">
        <f t="shared" si="102"/>
        <v>0.39822722677039796</v>
      </c>
      <c r="U96" s="80">
        <f t="shared" si="103"/>
        <v>0.3767607943552443</v>
      </c>
      <c r="V96" s="80">
        <f t="shared" si="104"/>
        <v>0.3620344892102634</v>
      </c>
      <c r="W96" s="80">
        <f t="shared" si="105"/>
        <v>0.3548883624252374</v>
      </c>
      <c r="X96" s="81">
        <f t="shared" si="106"/>
        <v>0.3557794701561432</v>
      </c>
      <c r="Y96" s="165">
        <f t="shared" si="107"/>
        <v>19788.39394438842</v>
      </c>
      <c r="Z96" s="165">
        <f t="shared" si="107"/>
        <v>19084.76701104554</v>
      </c>
      <c r="AA96" s="165">
        <f t="shared" si="107"/>
        <v>18590.328458222655</v>
      </c>
      <c r="AB96" s="165">
        <f t="shared" si="107"/>
        <v>18346.764874346292</v>
      </c>
      <c r="AC96" s="165">
        <f t="shared" si="107"/>
        <v>18377.269704275983</v>
      </c>
      <c r="AD96" s="72">
        <f t="shared" si="108"/>
        <v>2.3993896486269386</v>
      </c>
      <c r="AE96" s="73">
        <f t="shared" si="108"/>
        <v>2.224290265190991</v>
      </c>
      <c r="AF96" s="73">
        <f t="shared" si="108"/>
        <v>2.1071850105641476</v>
      </c>
      <c r="AG96" s="73">
        <f t="shared" si="108"/>
        <v>2.0512425614829155</v>
      </c>
      <c r="AH96" s="74">
        <f t="shared" si="108"/>
        <v>2.0581869359580276</v>
      </c>
      <c r="AI96" s="28"/>
      <c r="BX96"/>
    </row>
    <row r="97" spans="1:76" ht="16.5">
      <c r="A97" s="18">
        <v>68</v>
      </c>
      <c r="B97" s="4">
        <v>-0.3060447855019479</v>
      </c>
      <c r="C97" s="11">
        <v>124.38540401609183</v>
      </c>
      <c r="D97" s="4">
        <v>-1.6262178333673354</v>
      </c>
      <c r="E97" s="4">
        <f t="shared" si="89"/>
        <v>1.6547651955171416</v>
      </c>
      <c r="F97" s="83">
        <f t="shared" si="90"/>
        <v>0.5770347122355841</v>
      </c>
      <c r="G97" s="86">
        <f t="shared" si="91"/>
        <v>234.5235050975099</v>
      </c>
      <c r="H97" s="88">
        <f t="shared" si="92"/>
        <v>3.066166077525025</v>
      </c>
      <c r="I97" s="88">
        <f t="shared" si="93"/>
        <v>3.119990941347427</v>
      </c>
      <c r="J97" s="57">
        <f t="shared" si="94"/>
        <v>0.39001463438443806</v>
      </c>
      <c r="K97" s="11">
        <f t="shared" si="95"/>
        <v>19.70098430619291</v>
      </c>
      <c r="L97" s="11">
        <f t="shared" si="96"/>
        <v>1115.1165276888519</v>
      </c>
      <c r="M97" s="15">
        <f t="shared" si="97"/>
        <v>134.49894112868301</v>
      </c>
      <c r="N97" s="11">
        <f t="shared" si="98"/>
        <v>11585.238578474351</v>
      </c>
      <c r="O97" s="11">
        <f t="shared" si="99"/>
        <v>19774.52334572329</v>
      </c>
      <c r="P97" s="11">
        <f t="shared" si="100"/>
        <v>2.398569873907427</v>
      </c>
      <c r="Q97" s="121">
        <f t="shared" si="101"/>
        <v>32631.47694719528</v>
      </c>
      <c r="R97" s="90">
        <f t="shared" si="109"/>
        <v>0.25742536214937706</v>
      </c>
      <c r="S97" s="28"/>
      <c r="T97" s="79">
        <f t="shared" si="102"/>
        <v>0.42613485725968714</v>
      </c>
      <c r="U97" s="80">
        <f t="shared" si="103"/>
        <v>0.40447057533380243</v>
      </c>
      <c r="V97" s="80">
        <f t="shared" si="104"/>
        <v>0.39001463438443806</v>
      </c>
      <c r="W97" s="80">
        <f t="shared" si="105"/>
        <v>0.38358287597498814</v>
      </c>
      <c r="X97" s="81">
        <f t="shared" si="106"/>
        <v>0.3855770603037814</v>
      </c>
      <c r="Y97" s="165">
        <f t="shared" si="107"/>
        <v>20675.022358691243</v>
      </c>
      <c r="Z97" s="165">
        <f t="shared" si="107"/>
        <v>19989.41806742031</v>
      </c>
      <c r="AA97" s="165">
        <f t="shared" si="107"/>
        <v>19521.518546325096</v>
      </c>
      <c r="AB97" s="165">
        <f t="shared" si="107"/>
        <v>19310.52438967391</v>
      </c>
      <c r="AC97" s="165">
        <f t="shared" si="107"/>
        <v>19376.133366505874</v>
      </c>
      <c r="AD97" s="72">
        <f t="shared" si="108"/>
        <v>2.634825435128696</v>
      </c>
      <c r="AE97" s="73">
        <f t="shared" si="108"/>
        <v>2.4512948177900205</v>
      </c>
      <c r="AF97" s="73">
        <f t="shared" si="108"/>
        <v>2.3317845497252585</v>
      </c>
      <c r="AG97" s="73">
        <f t="shared" si="108"/>
        <v>2.279371989221357</v>
      </c>
      <c r="AH97" s="74">
        <f t="shared" si="108"/>
        <v>2.2955725776718032</v>
      </c>
      <c r="AI97" s="28"/>
      <c r="BX97"/>
    </row>
    <row r="98" spans="1:76" ht="16.5">
      <c r="A98" s="18">
        <v>69</v>
      </c>
      <c r="B98" s="4">
        <v>-0.29536781640040477</v>
      </c>
      <c r="C98" s="11">
        <v>126.9506343646594</v>
      </c>
      <c r="D98" s="4">
        <v>-1.7448986966969309</v>
      </c>
      <c r="E98" s="4">
        <f t="shared" si="89"/>
        <v>1.7697213364537907</v>
      </c>
      <c r="F98" s="83">
        <f t="shared" si="90"/>
        <v>0.556903731134395</v>
      </c>
      <c r="G98" s="86">
        <f t="shared" si="91"/>
        <v>239.36014021147184</v>
      </c>
      <c r="H98" s="88">
        <f t="shared" si="92"/>
        <v>3.2899339084552075</v>
      </c>
      <c r="I98" s="88">
        <f t="shared" si="93"/>
        <v>3.336735963146435</v>
      </c>
      <c r="J98" s="57">
        <f t="shared" si="94"/>
        <v>0.41710885741929077</v>
      </c>
      <c r="K98" s="11">
        <f t="shared" si="95"/>
        <v>18.350347854613453</v>
      </c>
      <c r="L98" s="11">
        <f t="shared" si="96"/>
        <v>1064.0813137452672</v>
      </c>
      <c r="M98" s="15">
        <f t="shared" si="97"/>
        <v>154.846667496148</v>
      </c>
      <c r="N98" s="11">
        <f t="shared" si="98"/>
        <v>13146.128626809874</v>
      </c>
      <c r="O98" s="11">
        <f t="shared" si="99"/>
        <v>20632.395606543443</v>
      </c>
      <c r="P98" s="11">
        <f t="shared" si="100"/>
        <v>2.6254727087920036</v>
      </c>
      <c r="Q98" s="121">
        <f t="shared" si="101"/>
        <v>35018.42803515814</v>
      </c>
      <c r="R98" s="90">
        <f t="shared" si="109"/>
        <v>0.2762557003913763</v>
      </c>
      <c r="S98" s="28"/>
      <c r="T98" s="79">
        <f t="shared" si="102"/>
        <v>0.45139249877813487</v>
      </c>
      <c r="U98" s="80">
        <f t="shared" si="103"/>
        <v>0.43067057471292086</v>
      </c>
      <c r="V98" s="80">
        <f t="shared" si="104"/>
        <v>0.41710885741929077</v>
      </c>
      <c r="W98" s="80">
        <f t="shared" si="105"/>
        <v>0.4114160339551371</v>
      </c>
      <c r="X98" s="81">
        <f t="shared" si="106"/>
        <v>0.41391690723719216</v>
      </c>
      <c r="Y98" s="165">
        <f t="shared" si="107"/>
        <v>21452.28178113524</v>
      </c>
      <c r="Z98" s="165">
        <f t="shared" si="107"/>
        <v>20816.30021649955</v>
      </c>
      <c r="AA98" s="165">
        <f t="shared" si="107"/>
        <v>20391.584153001993</v>
      </c>
      <c r="AB98" s="165">
        <f t="shared" si="107"/>
        <v>20211.208577037232</v>
      </c>
      <c r="AC98" s="165">
        <f t="shared" si="107"/>
        <v>20290.603305043205</v>
      </c>
      <c r="AD98" s="72">
        <f t="shared" si="108"/>
        <v>2.855502986786329</v>
      </c>
      <c r="AE98" s="73">
        <f t="shared" si="108"/>
        <v>2.6739224853922563</v>
      </c>
      <c r="AF98" s="73">
        <f t="shared" si="108"/>
        <v>2.5577155621877754</v>
      </c>
      <c r="AG98" s="73">
        <f t="shared" si="108"/>
        <v>2.5095553881515573</v>
      </c>
      <c r="AH98" s="74">
        <f t="shared" si="108"/>
        <v>2.530667121442098</v>
      </c>
      <c r="AI98" s="28"/>
      <c r="BX98"/>
    </row>
    <row r="99" spans="1:76" ht="16.5">
      <c r="A99" s="18">
        <v>70</v>
      </c>
      <c r="B99" s="4">
        <v>-0.2833675986125561</v>
      </c>
      <c r="C99" s="11">
        <v>125.64999275201042</v>
      </c>
      <c r="D99" s="4">
        <v>-1.8630264814476016</v>
      </c>
      <c r="E99" s="4">
        <f t="shared" si="89"/>
        <v>1.8844534662650807</v>
      </c>
      <c r="F99" s="83">
        <f t="shared" si="90"/>
        <v>0.5342778196795779</v>
      </c>
      <c r="G99" s="86">
        <f t="shared" si="91"/>
        <v>236.90783455481576</v>
      </c>
      <c r="H99" s="88">
        <f t="shared" si="92"/>
        <v>3.5126589327317492</v>
      </c>
      <c r="I99" s="88">
        <f t="shared" si="93"/>
        <v>3.553058621286977</v>
      </c>
      <c r="J99" s="57">
        <f t="shared" si="94"/>
        <v>0.44415028286244185</v>
      </c>
      <c r="K99" s="11">
        <f t="shared" si="95"/>
        <v>16.88956001851972</v>
      </c>
      <c r="L99" s="11">
        <f t="shared" si="96"/>
        <v>993.5969617402442</v>
      </c>
      <c r="M99" s="15">
        <f t="shared" si="97"/>
        <v>176.52226155214058</v>
      </c>
      <c r="N99" s="11">
        <f t="shared" si="98"/>
        <v>14789.886679623682</v>
      </c>
      <c r="O99" s="11">
        <f t="shared" si="99"/>
        <v>21448.519635713586</v>
      </c>
      <c r="P99" s="11">
        <f t="shared" si="100"/>
        <v>2.8562991629751395</v>
      </c>
      <c r="Q99" s="121">
        <f t="shared" si="101"/>
        <v>37428.27139781114</v>
      </c>
      <c r="R99" s="90">
        <f t="shared" si="109"/>
        <v>0.29526663273005316</v>
      </c>
      <c r="S99" s="28"/>
      <c r="T99" s="79">
        <f t="shared" si="102"/>
        <v>0.47534229352565044</v>
      </c>
      <c r="U99" s="80">
        <f t="shared" si="103"/>
        <v>0.4563865132649029</v>
      </c>
      <c r="V99" s="80">
        <f t="shared" si="104"/>
        <v>0.44415028286244185</v>
      </c>
      <c r="W99" s="80">
        <f t="shared" si="105"/>
        <v>0.43919559292449734</v>
      </c>
      <c r="X99" s="81">
        <f t="shared" si="106"/>
        <v>0.441767512072398</v>
      </c>
      <c r="Y99" s="165">
        <f t="shared" si="107"/>
        <v>22168.97733978524</v>
      </c>
      <c r="Z99" s="165">
        <f t="shared" si="107"/>
        <v>21603.307218179285</v>
      </c>
      <c r="AA99" s="165">
        <f t="shared" si="107"/>
        <v>21231.73971989061</v>
      </c>
      <c r="AB99" s="165">
        <f t="shared" si="107"/>
        <v>21079.79668889232</v>
      </c>
      <c r="AC99" s="165">
        <f t="shared" si="107"/>
        <v>21158.777211820485</v>
      </c>
      <c r="AD99" s="72">
        <f t="shared" si="108"/>
        <v>3.0714218083112783</v>
      </c>
      <c r="AE99" s="73">
        <f t="shared" si="108"/>
        <v>2.899990791328724</v>
      </c>
      <c r="AF99" s="73">
        <f t="shared" si="108"/>
        <v>2.7914890961552525</v>
      </c>
      <c r="AG99" s="73">
        <f t="shared" si="108"/>
        <v>2.7480365540508407</v>
      </c>
      <c r="AH99" s="74">
        <f t="shared" si="108"/>
        <v>2.7705575650296015</v>
      </c>
      <c r="AI99" s="28"/>
      <c r="BX99"/>
    </row>
    <row r="100" spans="1:76" ht="16.5">
      <c r="A100" s="18">
        <v>71</v>
      </c>
      <c r="B100" s="4">
        <v>-0.2699889150048618</v>
      </c>
      <c r="C100" s="11">
        <v>120.61920848467275</v>
      </c>
      <c r="D100" s="4">
        <v>-1.9834856507491039</v>
      </c>
      <c r="E100" s="4">
        <f t="shared" si="89"/>
        <v>2.0017765462091663</v>
      </c>
      <c r="F100" s="83">
        <f t="shared" si="90"/>
        <v>0.5090528682627607</v>
      </c>
      <c r="G100" s="86">
        <f t="shared" si="91"/>
        <v>227.42250008894226</v>
      </c>
      <c r="H100" s="88">
        <f t="shared" si="92"/>
        <v>3.739779685598122</v>
      </c>
      <c r="I100" s="88">
        <f t="shared" si="93"/>
        <v>3.774266408124754</v>
      </c>
      <c r="J100" s="57">
        <f t="shared" si="94"/>
        <v>0.4718023740794975</v>
      </c>
      <c r="K100" s="11">
        <f t="shared" si="95"/>
        <v>15.332388806198797</v>
      </c>
      <c r="L100" s="11">
        <f t="shared" si="96"/>
        <v>905.2188599646714</v>
      </c>
      <c r="M100" s="15">
        <f t="shared" si="97"/>
        <v>200.08731326596288</v>
      </c>
      <c r="N100" s="11">
        <f t="shared" si="98"/>
        <v>16557.623997584633</v>
      </c>
      <c r="O100" s="11">
        <f t="shared" si="99"/>
        <v>22248.350816092905</v>
      </c>
      <c r="P100" s="11">
        <f t="shared" si="100"/>
        <v>3.097507103019164</v>
      </c>
      <c r="Q100" s="121">
        <f t="shared" si="101"/>
        <v>39929.71088281739</v>
      </c>
      <c r="R100" s="90">
        <f t="shared" si="109"/>
        <v>0.3150001546409525</v>
      </c>
      <c r="S100" s="28"/>
      <c r="T100" s="79">
        <f t="shared" si="102"/>
        <v>0.49892041962032435</v>
      </c>
      <c r="U100" s="80">
        <f t="shared" si="103"/>
        <v>0.482388769477854</v>
      </c>
      <c r="V100" s="80">
        <f t="shared" si="104"/>
        <v>0.4718023740794975</v>
      </c>
      <c r="W100" s="80">
        <f t="shared" si="105"/>
        <v>0.46756523707413933</v>
      </c>
      <c r="X100" s="81">
        <f t="shared" si="106"/>
        <v>0.4698491642195358</v>
      </c>
      <c r="Y100" s="165">
        <f t="shared" si="107"/>
        <v>22856.639278860486</v>
      </c>
      <c r="Z100" s="165">
        <f t="shared" si="107"/>
        <v>22376.29336895874</v>
      </c>
      <c r="AA100" s="165">
        <f t="shared" si="107"/>
        <v>22064.232295254402</v>
      </c>
      <c r="AB100" s="165">
        <f t="shared" si="107"/>
        <v>21938.324567832988</v>
      </c>
      <c r="AC100" s="165">
        <f t="shared" si="107"/>
        <v>22006.264569557912</v>
      </c>
      <c r="AD100" s="72">
        <f t="shared" si="108"/>
        <v>3.2903303317939114</v>
      </c>
      <c r="AE100" s="73">
        <f t="shared" si="108"/>
        <v>3.13618494022503</v>
      </c>
      <c r="AF100" s="73">
        <f t="shared" si="108"/>
        <v>3.039098959143602</v>
      </c>
      <c r="AG100" s="73">
        <f t="shared" si="108"/>
        <v>3.0005962922493583</v>
      </c>
      <c r="AH100" s="74">
        <f t="shared" si="108"/>
        <v>3.0213249916839167</v>
      </c>
      <c r="AI100" s="28"/>
      <c r="BX100"/>
    </row>
    <row r="101" spans="1:77" ht="16.5">
      <c r="A101" s="18">
        <v>72</v>
      </c>
      <c r="B101" s="4">
        <v>-0.25583793143957845</v>
      </c>
      <c r="C101" s="11">
        <v>111.28668841819632</v>
      </c>
      <c r="D101" s="4">
        <v>-2.108555433516901</v>
      </c>
      <c r="E101" s="4">
        <f t="shared" si="89"/>
        <v>2.1240195534356383</v>
      </c>
      <c r="F101" s="83">
        <f t="shared" si="90"/>
        <v>0.4823717774019862</v>
      </c>
      <c r="G101" s="86">
        <f t="shared" si="91"/>
        <v>209.82642171708002</v>
      </c>
      <c r="H101" s="88">
        <f t="shared" si="92"/>
        <v>3.9755935583632356</v>
      </c>
      <c r="I101" s="88">
        <f t="shared" si="93"/>
        <v>4.004750513194698</v>
      </c>
      <c r="J101" s="57">
        <f t="shared" si="94"/>
        <v>0.5006140519529778</v>
      </c>
      <c r="K101" s="11">
        <f t="shared" si="95"/>
        <v>13.767269896172275</v>
      </c>
      <c r="L101" s="11">
        <f t="shared" si="96"/>
        <v>802.6948678243476</v>
      </c>
      <c r="M101" s="15">
        <f t="shared" si="97"/>
        <v>226.11609296139838</v>
      </c>
      <c r="N101" s="11">
        <f t="shared" si="98"/>
        <v>18490.919955305693</v>
      </c>
      <c r="O101" s="11">
        <f t="shared" si="99"/>
        <v>23049.97672557642</v>
      </c>
      <c r="P101" s="11">
        <f t="shared" si="100"/>
        <v>3.3549684648641955</v>
      </c>
      <c r="Q101" s="121">
        <f t="shared" si="101"/>
        <v>42586.82988002889</v>
      </c>
      <c r="R101" s="90">
        <f t="shared" si="109"/>
        <v>0.3359618114252297</v>
      </c>
      <c r="S101" s="28"/>
      <c r="T101" s="79">
        <f t="shared" si="102"/>
        <v>0.5228258802565896</v>
      </c>
      <c r="U101" s="80">
        <f t="shared" si="103"/>
        <v>0.5092890579168599</v>
      </c>
      <c r="V101" s="80">
        <f t="shared" si="104"/>
        <v>0.5006140519529778</v>
      </c>
      <c r="W101" s="80">
        <f t="shared" si="105"/>
        <v>0.4970554843907129</v>
      </c>
      <c r="X101" s="81">
        <f t="shared" si="106"/>
        <v>0.4987228901546079</v>
      </c>
      <c r="Y101" s="165">
        <f t="shared" si="107"/>
        <v>23536.950285474053</v>
      </c>
      <c r="Z101" s="165">
        <f t="shared" si="107"/>
        <v>23153.735168968484</v>
      </c>
      <c r="AA101" s="165">
        <f t="shared" si="107"/>
        <v>22905.383569798792</v>
      </c>
      <c r="AB101" s="165">
        <f t="shared" si="107"/>
        <v>22802.865954945995</v>
      </c>
      <c r="AC101" s="165">
        <f t="shared" si="107"/>
        <v>22850.948648694768</v>
      </c>
      <c r="AD101" s="72">
        <f t="shared" si="108"/>
        <v>3.518700457117492</v>
      </c>
      <c r="AE101" s="73">
        <f t="shared" si="108"/>
        <v>3.388588330970223</v>
      </c>
      <c r="AF101" s="73">
        <f t="shared" si="108"/>
        <v>3.3062968440169644</v>
      </c>
      <c r="AG101" s="73">
        <f t="shared" si="108"/>
        <v>3.2727864317591653</v>
      </c>
      <c r="AH101" s="74">
        <f t="shared" si="108"/>
        <v>3.2884702604571348</v>
      </c>
      <c r="AI101" s="28"/>
      <c r="BX101"/>
      <c r="BY101"/>
    </row>
    <row r="102" spans="1:77" ht="16.5">
      <c r="A102" s="53">
        <f>J27</f>
        <v>73.17120452647318</v>
      </c>
      <c r="B102" s="68">
        <v>-0.24045827362357386</v>
      </c>
      <c r="C102" s="53">
        <v>96.65180988093557</v>
      </c>
      <c r="D102" s="68">
        <v>-2.240046943380341</v>
      </c>
      <c r="E102" s="68">
        <f t="shared" si="89"/>
        <v>2.252915997080592</v>
      </c>
      <c r="F102" s="84">
        <f t="shared" si="90"/>
        <v>0.4533740723517772</v>
      </c>
      <c r="G102" s="53">
        <f t="shared" si="91"/>
        <v>182.23296701566923</v>
      </c>
      <c r="H102" s="68">
        <f t="shared" si="92"/>
        <v>4.223515330436655</v>
      </c>
      <c r="I102" s="68">
        <f t="shared" si="93"/>
        <v>4.247779395862535</v>
      </c>
      <c r="J102" s="58">
        <f t="shared" si="94"/>
        <v>0.5309938904205922</v>
      </c>
      <c r="K102" s="89">
        <f t="shared" si="95"/>
        <v>12.161787367374133</v>
      </c>
      <c r="L102" s="53">
        <f t="shared" si="96"/>
        <v>685.2617234996903</v>
      </c>
      <c r="M102" s="67">
        <f t="shared" si="97"/>
        <v>255.1970595749397</v>
      </c>
      <c r="N102" s="53">
        <f t="shared" si="98"/>
        <v>20628.29265939703</v>
      </c>
      <c r="O102" s="53">
        <f t="shared" si="99"/>
        <v>23866.308563380262</v>
      </c>
      <c r="P102" s="124">
        <f t="shared" si="100"/>
        <v>3.6341742882198984</v>
      </c>
      <c r="Q102" s="122">
        <f t="shared" si="101"/>
        <v>45450.855967507516</v>
      </c>
      <c r="R102" s="91">
        <f>Q102*J$29*(A102-A101)</f>
        <v>0.41994209467434923</v>
      </c>
      <c r="S102" s="52"/>
      <c r="T102" s="95">
        <f t="shared" si="102"/>
        <v>0.5475988744901401</v>
      </c>
      <c r="U102" s="96">
        <f t="shared" si="103"/>
        <v>0.5375354630476771</v>
      </c>
      <c r="V102" s="96">
        <f t="shared" si="104"/>
        <v>0.5309938904205922</v>
      </c>
      <c r="W102" s="96">
        <f t="shared" si="105"/>
        <v>0.5281050465894203</v>
      </c>
      <c r="X102" s="97">
        <f t="shared" si="106"/>
        <v>0.5289287851323038</v>
      </c>
      <c r="Y102" s="166">
        <f t="shared" si="107"/>
        <v>24225.19546161355</v>
      </c>
      <c r="Z102" s="166">
        <f t="shared" si="107"/>
        <v>23947.596511205284</v>
      </c>
      <c r="AA102" s="166">
        <f t="shared" si="107"/>
        <v>23765.70286543582</v>
      </c>
      <c r="AB102" s="166">
        <f t="shared" si="107"/>
        <v>23685.00744707157</v>
      </c>
      <c r="AC102" s="166">
        <f t="shared" si="107"/>
        <v>23708.040531575105</v>
      </c>
      <c r="AD102" s="75">
        <f t="shared" si="108"/>
        <v>3.7621812301862265</v>
      </c>
      <c r="AE102" s="76">
        <f t="shared" si="108"/>
        <v>3.662435688074908</v>
      </c>
      <c r="AF102" s="76">
        <f t="shared" si="108"/>
        <v>3.598212153239844</v>
      </c>
      <c r="AG102" s="76">
        <f t="shared" si="108"/>
        <v>3.570004343314884</v>
      </c>
      <c r="AH102" s="77">
        <f t="shared" si="108"/>
        <v>3.578038026283627</v>
      </c>
      <c r="AI102" s="28"/>
      <c r="BX102"/>
      <c r="BY102"/>
    </row>
    <row r="103" spans="2:34" ht="8.25" customHeight="1">
      <c r="B103" s="15"/>
      <c r="D103" s="2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R103" s="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28"/>
      <c r="AE103" s="28"/>
      <c r="AF103" s="28"/>
      <c r="AG103" s="28"/>
      <c r="AH103" s="28"/>
    </row>
    <row r="104" spans="1:76" ht="16.5">
      <c r="A104" s="5"/>
      <c r="B104" s="15"/>
      <c r="D104" s="2"/>
      <c r="E104" s="33"/>
      <c r="F104" s="33"/>
      <c r="G104" s="33"/>
      <c r="H104" s="33"/>
      <c r="I104" s="33"/>
      <c r="J104" s="102" t="s">
        <v>155</v>
      </c>
      <c r="K104" s="18">
        <f>SUM(K40:K102)</f>
        <v>5643.524123331257</v>
      </c>
      <c r="L104" s="18">
        <f aca="true" t="shared" si="110" ref="L104:R104">SUM(L40:L102)</f>
        <v>292617.5771637036</v>
      </c>
      <c r="M104" s="18">
        <f t="shared" si="110"/>
        <v>4159.308097564799</v>
      </c>
      <c r="N104" s="18">
        <f t="shared" si="110"/>
        <v>463986.71487213834</v>
      </c>
      <c r="O104" s="18">
        <f t="shared" si="110"/>
        <v>1000182.2291664738</v>
      </c>
      <c r="P104" s="18">
        <f t="shared" si="110"/>
        <v>113.19136016963903</v>
      </c>
      <c r="Q104" s="18">
        <f t="shared" si="110"/>
        <v>1766702.5447833824</v>
      </c>
      <c r="R104" s="4">
        <f t="shared" si="110"/>
        <v>13.954994402693526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 t="s">
        <v>145</v>
      </c>
      <c r="AC104" s="38">
        <f>SUM(AD40:AD102)/59</f>
        <v>2.8387034212275997</v>
      </c>
      <c r="AD104" s="38">
        <f>SUM(AE40:AE102)/59</f>
        <v>2.220599700072463</v>
      </c>
      <c r="AE104" s="38">
        <f>SUM(AF40:AF102)/59</f>
        <v>1.7406072465929263</v>
      </c>
      <c r="AF104" s="38">
        <f>SUM(AG40:AG102)/59</f>
        <v>1.4254320059480603</v>
      </c>
      <c r="AG104" s="38">
        <f>SUM(AH40:AH102)/59</f>
        <v>1.3671457761283596</v>
      </c>
      <c r="AH104" s="28"/>
      <c r="BX104"/>
    </row>
    <row r="105" spans="1:34" ht="16.5">
      <c r="A105" s="5"/>
      <c r="B105" s="15"/>
      <c r="D105" s="2"/>
      <c r="E105" s="33"/>
      <c r="F105" s="33"/>
      <c r="G105" s="33"/>
      <c r="H105" s="33"/>
      <c r="I105" s="33"/>
      <c r="J105" s="10" t="s">
        <v>156</v>
      </c>
      <c r="K105" s="29">
        <f>K104/$Q$104</f>
        <v>0.0031943827442798057</v>
      </c>
      <c r="L105" s="29">
        <f aca="true" t="shared" si="111" ref="L105:Q105">L104/$Q$104</f>
        <v>0.16562922718809</v>
      </c>
      <c r="M105" s="29">
        <f t="shared" si="111"/>
        <v>0.0023542775267099514</v>
      </c>
      <c r="N105" s="29">
        <f t="shared" si="111"/>
        <v>0.2626286559908863</v>
      </c>
      <c r="O105" s="29">
        <f t="shared" si="111"/>
        <v>0.5661293872699478</v>
      </c>
      <c r="P105" s="29">
        <f t="shared" si="111"/>
        <v>6.406928008558314E-05</v>
      </c>
      <c r="Q105" s="11">
        <f t="shared" si="111"/>
        <v>1</v>
      </c>
      <c r="R105" s="1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28"/>
      <c r="AE105" s="28"/>
      <c r="AF105" s="28"/>
      <c r="AG105" s="28"/>
      <c r="AH105" s="28"/>
    </row>
    <row r="106" spans="2:29" ht="5.25" customHeight="1">
      <c r="B106" s="15"/>
      <c r="E106" s="34"/>
      <c r="F106" s="34"/>
      <c r="G106" s="34"/>
      <c r="H106" s="34"/>
      <c r="I106" s="34"/>
      <c r="J106" s="33"/>
      <c r="L106" s="33"/>
      <c r="M106" s="33"/>
      <c r="N106" s="33"/>
      <c r="O106" s="33"/>
      <c r="P106" s="33"/>
      <c r="Q106" s="33"/>
      <c r="R106" s="18"/>
      <c r="AC106" s="30"/>
    </row>
    <row r="107" spans="2:29" ht="16.5">
      <c r="B107" s="15"/>
      <c r="E107" s="34"/>
      <c r="F107" s="34"/>
      <c r="G107" s="34"/>
      <c r="H107" s="34"/>
      <c r="I107" s="34"/>
      <c r="J107" s="34"/>
      <c r="L107" s="33"/>
      <c r="M107" s="33"/>
      <c r="N107" s="33"/>
      <c r="O107" s="33" t="s">
        <v>57</v>
      </c>
      <c r="P107" s="33"/>
      <c r="Q107" s="18">
        <f>MAX(Q40:Q102)</f>
        <v>45450.855967507516</v>
      </c>
      <c r="R107" s="18"/>
      <c r="AC107" s="30"/>
    </row>
    <row r="108" spans="2:29" ht="6" customHeight="1">
      <c r="B108" s="15"/>
      <c r="E108" s="34"/>
      <c r="F108" s="34"/>
      <c r="G108" s="34"/>
      <c r="H108" s="34"/>
      <c r="I108" s="34"/>
      <c r="J108" s="33"/>
      <c r="L108" s="33"/>
      <c r="M108" s="33"/>
      <c r="N108" s="33"/>
      <c r="O108" s="33"/>
      <c r="P108" s="33"/>
      <c r="R108"/>
      <c r="AC108" s="30"/>
    </row>
    <row r="109" spans="2:75" ht="16.5">
      <c r="B109" s="15"/>
      <c r="E109" s="34"/>
      <c r="F109" s="34"/>
      <c r="G109" s="34"/>
      <c r="H109" s="34"/>
      <c r="I109" s="34"/>
      <c r="J109" s="102" t="s">
        <v>158</v>
      </c>
      <c r="K109" s="4">
        <f aca="true" t="shared" si="112" ref="K109:P109">(SUM(K40:K55)+K56*($A56-$A55)+K58*($A59-$A58)+SUM(K59:K76)+K77*($A77-$A76)+K79*($A80-$A79)+SUM(K80:K92)+K93*($A93-$A92)+K95*($A96-$A95)+SUM(K96:K101)+K102*($A102-$A101))*$J$29</f>
        <v>0.044167551229613744</v>
      </c>
      <c r="L109" s="4">
        <f t="shared" si="112"/>
        <v>2.2906366672965697</v>
      </c>
      <c r="M109" s="4">
        <f t="shared" si="112"/>
        <v>0.033390439790571415</v>
      </c>
      <c r="N109" s="4">
        <f t="shared" si="112"/>
        <v>3.6979834069005193</v>
      </c>
      <c r="O109" s="4">
        <f t="shared" si="112"/>
        <v>7.887919539687023</v>
      </c>
      <c r="P109" s="4">
        <f t="shared" si="112"/>
        <v>0.0008967977892287058</v>
      </c>
      <c r="Q109" s="4">
        <f>SUM(K109:P109)</f>
        <v>13.954994402693528</v>
      </c>
      <c r="R109"/>
      <c r="AC109" s="30"/>
      <c r="BW109" s="2"/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spans="5:15" ht="16.5">
      <c r="E198" s="33"/>
      <c r="F198" s="34"/>
      <c r="G198" s="33"/>
      <c r="H198" s="33"/>
      <c r="I198" s="33"/>
      <c r="J198" s="33"/>
      <c r="L198" s="33"/>
      <c r="M198" s="33"/>
      <c r="N198" s="33"/>
      <c r="O198" s="33"/>
    </row>
    <row r="199" spans="5:15" ht="16.5">
      <c r="E199" s="33"/>
      <c r="F199" s="34"/>
      <c r="G199" s="33"/>
      <c r="H199" s="33"/>
      <c r="I199" s="33"/>
      <c r="J199" s="33"/>
      <c r="L199" s="33"/>
      <c r="M199" s="33"/>
      <c r="N199" s="33"/>
      <c r="O199" s="33"/>
    </row>
    <row r="200" spans="5:15" ht="16.5">
      <c r="E200" s="33"/>
      <c r="F200" s="34"/>
      <c r="G200" s="33"/>
      <c r="H200" s="33"/>
      <c r="I200" s="33"/>
      <c r="J200" s="33"/>
      <c r="L200" s="33"/>
      <c r="M200" s="33"/>
      <c r="N200" s="33"/>
      <c r="O200" s="33"/>
    </row>
    <row r="201" spans="5:15" ht="16.5">
      <c r="E201" s="33"/>
      <c r="F201" s="34"/>
      <c r="G201" s="33"/>
      <c r="H201" s="33"/>
      <c r="I201" s="33"/>
      <c r="J201" s="33"/>
      <c r="L201" s="33"/>
      <c r="M201" s="33"/>
      <c r="N201" s="33"/>
      <c r="O201" s="33"/>
    </row>
    <row r="202" spans="5:15" ht="16.5">
      <c r="E202" s="33"/>
      <c r="F202" s="34"/>
      <c r="G202" s="33"/>
      <c r="H202" s="33"/>
      <c r="I202" s="33"/>
      <c r="J202" s="33"/>
      <c r="L202" s="33"/>
      <c r="M202" s="33"/>
      <c r="N202" s="33"/>
      <c r="O202" s="33"/>
    </row>
    <row r="203" spans="5:15" ht="16.5">
      <c r="E203" s="33"/>
      <c r="F203" s="34"/>
      <c r="G203" s="33"/>
      <c r="H203" s="33"/>
      <c r="I203" s="33"/>
      <c r="J203" s="33"/>
      <c r="L203" s="33"/>
      <c r="M203" s="33"/>
      <c r="N203" s="33"/>
      <c r="O203" s="33"/>
    </row>
    <row r="204" spans="5:15" ht="16.5">
      <c r="E204" s="33"/>
      <c r="F204" s="34"/>
      <c r="G204" s="33"/>
      <c r="H204" s="33"/>
      <c r="I204" s="33"/>
      <c r="J204" s="33"/>
      <c r="L204" s="33"/>
      <c r="M204" s="33"/>
      <c r="N204" s="33"/>
      <c r="O204" s="33"/>
    </row>
    <row r="205" spans="5:15" ht="16.5">
      <c r="E205" s="33"/>
      <c r="F205" s="34"/>
      <c r="G205" s="33"/>
      <c r="H205" s="33"/>
      <c r="I205" s="33"/>
      <c r="J205" s="33"/>
      <c r="L205" s="33"/>
      <c r="M205" s="33"/>
      <c r="N205" s="33"/>
      <c r="O205" s="33"/>
    </row>
    <row r="206" spans="5:15" ht="16.5">
      <c r="E206" s="33"/>
      <c r="F206" s="34"/>
      <c r="G206" s="33"/>
      <c r="H206" s="33"/>
      <c r="I206" s="33"/>
      <c r="J206" s="33"/>
      <c r="L206" s="33"/>
      <c r="M206" s="33"/>
      <c r="N206" s="33"/>
      <c r="O206" s="33"/>
    </row>
    <row r="207" spans="5:15" ht="16.5">
      <c r="E207" s="33"/>
      <c r="F207" s="34"/>
      <c r="G207" s="33"/>
      <c r="H207" s="33"/>
      <c r="I207" s="33"/>
      <c r="J207" s="33"/>
      <c r="L207" s="33"/>
      <c r="M207" s="33"/>
      <c r="N207" s="33"/>
      <c r="O207" s="33"/>
    </row>
    <row r="208" spans="5:15" ht="16.5">
      <c r="E208" s="33"/>
      <c r="F208" s="34"/>
      <c r="G208" s="33"/>
      <c r="H208" s="33"/>
      <c r="I208" s="33"/>
      <c r="J208" s="33"/>
      <c r="L208" s="33"/>
      <c r="M208" s="33"/>
      <c r="N208" s="33"/>
      <c r="O208" s="33"/>
    </row>
    <row r="209" spans="5:15" ht="16.5">
      <c r="E209" s="33"/>
      <c r="F209" s="34"/>
      <c r="G209" s="33"/>
      <c r="H209" s="33"/>
      <c r="I209" s="33"/>
      <c r="J209" s="33"/>
      <c r="L209" s="33"/>
      <c r="M209" s="33"/>
      <c r="N209" s="33"/>
      <c r="O209" s="33"/>
    </row>
    <row r="210" spans="5:15" ht="16.5">
      <c r="E210" s="33"/>
      <c r="F210" s="34"/>
      <c r="G210" s="33"/>
      <c r="H210" s="33"/>
      <c r="I210" s="33"/>
      <c r="J210" s="33"/>
      <c r="L210" s="33"/>
      <c r="M210" s="33"/>
      <c r="N210" s="33"/>
      <c r="O210" s="33"/>
    </row>
    <row r="211" spans="5:15" ht="16.5">
      <c r="E211" s="33"/>
      <c r="F211" s="34"/>
      <c r="G211" s="33"/>
      <c r="H211" s="33"/>
      <c r="I211" s="33"/>
      <c r="J211" s="33"/>
      <c r="L211" s="33"/>
      <c r="M211" s="33"/>
      <c r="N211" s="33"/>
      <c r="O211" s="33"/>
    </row>
    <row r="212" spans="5:15" ht="16.5">
      <c r="E212" s="33"/>
      <c r="F212" s="34"/>
      <c r="G212" s="33"/>
      <c r="H212" s="33"/>
      <c r="I212" s="33"/>
      <c r="J212" s="33"/>
      <c r="L212" s="33"/>
      <c r="M212" s="33"/>
      <c r="N212" s="33"/>
      <c r="O212" s="33"/>
    </row>
    <row r="213" spans="5:15" ht="16.5">
      <c r="E213" s="33"/>
      <c r="F213" s="34"/>
      <c r="G213" s="33"/>
      <c r="H213" s="33"/>
      <c r="I213" s="33"/>
      <c r="J213" s="33"/>
      <c r="L213" s="33"/>
      <c r="M213" s="33"/>
      <c r="N213" s="33"/>
      <c r="O213" s="33"/>
    </row>
    <row r="214" spans="5:15" ht="16.5">
      <c r="E214" s="33"/>
      <c r="F214" s="34"/>
      <c r="G214" s="33"/>
      <c r="H214" s="33"/>
      <c r="I214" s="33"/>
      <c r="J214" s="33"/>
      <c r="L214" s="33"/>
      <c r="M214" s="33"/>
      <c r="N214" s="33"/>
      <c r="O214" s="33"/>
    </row>
    <row r="215" spans="5:15" ht="16.5">
      <c r="E215" s="33"/>
      <c r="F215" s="34"/>
      <c r="G215" s="33"/>
      <c r="H215" s="33"/>
      <c r="I215" s="33"/>
      <c r="J215" s="33"/>
      <c r="L215" s="33"/>
      <c r="M215" s="33"/>
      <c r="N215" s="33"/>
      <c r="O215" s="33"/>
    </row>
    <row r="216" spans="5:15" ht="16.5">
      <c r="E216" s="33"/>
      <c r="F216" s="34"/>
      <c r="G216" s="33"/>
      <c r="H216" s="33"/>
      <c r="I216" s="33"/>
      <c r="J216" s="33"/>
      <c r="L216" s="33"/>
      <c r="M216" s="33"/>
      <c r="N216" s="33"/>
      <c r="O216" s="33"/>
    </row>
    <row r="217" spans="5:15" ht="16.5">
      <c r="E217" s="33"/>
      <c r="F217" s="34"/>
      <c r="G217" s="33"/>
      <c r="H217" s="33"/>
      <c r="I217" s="33"/>
      <c r="J217" s="33"/>
      <c r="L217" s="33"/>
      <c r="M217" s="33"/>
      <c r="N217" s="33"/>
      <c r="O217" s="33"/>
    </row>
    <row r="218" spans="5:15" ht="16.5">
      <c r="E218" s="33"/>
      <c r="F218" s="34"/>
      <c r="G218" s="33"/>
      <c r="H218" s="33"/>
      <c r="I218" s="33"/>
      <c r="J218" s="33"/>
      <c r="L218" s="33"/>
      <c r="M218" s="33"/>
      <c r="N218" s="33"/>
      <c r="O218" s="33"/>
    </row>
    <row r="219" spans="5:15" ht="16.5">
      <c r="E219" s="33"/>
      <c r="F219" s="34"/>
      <c r="G219" s="33"/>
      <c r="H219" s="33"/>
      <c r="I219" s="33"/>
      <c r="J219" s="33"/>
      <c r="L219" s="33"/>
      <c r="M219" s="33"/>
      <c r="N219" s="33"/>
      <c r="O219" s="33"/>
    </row>
    <row r="220" spans="5:15" ht="16.5">
      <c r="E220" s="33"/>
      <c r="F220" s="34"/>
      <c r="G220" s="33"/>
      <c r="H220" s="33"/>
      <c r="I220" s="33"/>
      <c r="J220" s="33"/>
      <c r="L220" s="33"/>
      <c r="M220" s="33"/>
      <c r="N220" s="33"/>
      <c r="O220" s="33"/>
    </row>
    <row r="221" spans="5:15" ht="16.5">
      <c r="E221" s="33"/>
      <c r="F221" s="34"/>
      <c r="G221" s="33"/>
      <c r="H221" s="33"/>
      <c r="I221" s="33"/>
      <c r="J221" s="33"/>
      <c r="L221" s="33"/>
      <c r="M221" s="33"/>
      <c r="N221" s="33"/>
      <c r="O221" s="33"/>
    </row>
    <row r="222" spans="5:15" ht="16.5">
      <c r="E222" s="33"/>
      <c r="F222" s="34"/>
      <c r="G222" s="33"/>
      <c r="H222" s="33"/>
      <c r="I222" s="33"/>
      <c r="J222" s="33"/>
      <c r="L222" s="33"/>
      <c r="M222" s="33"/>
      <c r="N222" s="33"/>
      <c r="O222" s="33"/>
    </row>
    <row r="223" spans="5:15" ht="16.5">
      <c r="E223" s="33"/>
      <c r="F223" s="34"/>
      <c r="G223" s="33"/>
      <c r="H223" s="33"/>
      <c r="I223" s="33"/>
      <c r="J223" s="33"/>
      <c r="L223" s="33"/>
      <c r="M223" s="33"/>
      <c r="N223" s="33"/>
      <c r="O223" s="33"/>
    </row>
    <row r="224" spans="5:15" ht="16.5">
      <c r="E224" s="33"/>
      <c r="F224" s="34"/>
      <c r="G224" s="33"/>
      <c r="H224" s="33"/>
      <c r="I224" s="33"/>
      <c r="J224" s="33"/>
      <c r="L224" s="33"/>
      <c r="M224" s="33"/>
      <c r="N224" s="33"/>
      <c r="O224" s="33"/>
    </row>
    <row r="225" spans="5:15" ht="16.5">
      <c r="E225" s="33"/>
      <c r="F225" s="34"/>
      <c r="G225" s="33"/>
      <c r="H225" s="33"/>
      <c r="I225" s="33"/>
      <c r="J225" s="33"/>
      <c r="L225" s="33"/>
      <c r="M225" s="33"/>
      <c r="N225" s="33"/>
      <c r="O225" s="33"/>
    </row>
    <row r="226" spans="5:15" ht="16.5">
      <c r="E226" s="33"/>
      <c r="F226" s="34"/>
      <c r="G226" s="33"/>
      <c r="H226" s="33"/>
      <c r="I226" s="33"/>
      <c r="J226" s="33"/>
      <c r="L226" s="33"/>
      <c r="M226" s="33"/>
      <c r="N226" s="33"/>
      <c r="O226" s="33"/>
    </row>
    <row r="227" spans="5:15" ht="16.5">
      <c r="E227" s="33"/>
      <c r="F227" s="34"/>
      <c r="G227" s="33"/>
      <c r="H227" s="33"/>
      <c r="I227" s="33"/>
      <c r="J227" s="33"/>
      <c r="L227" s="33"/>
      <c r="M227" s="33"/>
      <c r="N227" s="33"/>
      <c r="O227" s="33"/>
    </row>
    <row r="228" spans="5:15" ht="16.5">
      <c r="E228" s="33"/>
      <c r="F228" s="34"/>
      <c r="G228" s="33"/>
      <c r="H228" s="33"/>
      <c r="I228" s="33"/>
      <c r="J228" s="33"/>
      <c r="L228" s="33"/>
      <c r="M228" s="33"/>
      <c r="N228" s="33"/>
      <c r="O228" s="33"/>
    </row>
    <row r="229" spans="5:15" ht="16.5">
      <c r="E229" s="33"/>
      <c r="F229" s="34"/>
      <c r="G229" s="33"/>
      <c r="H229" s="33"/>
      <c r="I229" s="33"/>
      <c r="J229" s="33"/>
      <c r="L229" s="33"/>
      <c r="M229" s="33"/>
      <c r="N229" s="33"/>
      <c r="O229" s="33"/>
    </row>
    <row r="230" spans="5:15" ht="16.5">
      <c r="E230" s="33"/>
      <c r="F230" s="34"/>
      <c r="G230" s="33"/>
      <c r="H230" s="33"/>
      <c r="I230" s="33"/>
      <c r="J230" s="33"/>
      <c r="L230" s="33"/>
      <c r="M230" s="33"/>
      <c r="N230" s="33"/>
      <c r="O230" s="33"/>
    </row>
    <row r="231" spans="5:15" ht="16.5">
      <c r="E231" s="33"/>
      <c r="F231" s="34"/>
      <c r="G231" s="33"/>
      <c r="H231" s="33"/>
      <c r="I231" s="33"/>
      <c r="J231" s="33"/>
      <c r="L231" s="33"/>
      <c r="M231" s="33"/>
      <c r="N231" s="33"/>
      <c r="O231" s="33"/>
    </row>
    <row r="232" spans="5:15" ht="16.5">
      <c r="E232" s="33"/>
      <c r="F232" s="34"/>
      <c r="G232" s="33"/>
      <c r="H232" s="33"/>
      <c r="I232" s="33"/>
      <c r="J232" s="33"/>
      <c r="L232" s="33"/>
      <c r="M232" s="33"/>
      <c r="N232" s="33"/>
      <c r="O232" s="33"/>
    </row>
    <row r="233" spans="5:15" ht="16.5">
      <c r="E233" s="33"/>
      <c r="F233" s="34"/>
      <c r="G233" s="33"/>
      <c r="H233" s="33"/>
      <c r="I233" s="33"/>
      <c r="J233" s="33"/>
      <c r="L233" s="33"/>
      <c r="M233" s="33"/>
      <c r="N233" s="33"/>
      <c r="O233" s="33"/>
    </row>
    <row r="234" spans="5:15" ht="16.5">
      <c r="E234" s="33"/>
      <c r="F234" s="34"/>
      <c r="G234" s="33"/>
      <c r="H234" s="33"/>
      <c r="I234" s="33"/>
      <c r="J234" s="33"/>
      <c r="L234" s="33"/>
      <c r="M234" s="33"/>
      <c r="N234" s="33"/>
      <c r="O234" s="33"/>
    </row>
    <row r="235" spans="5:15" ht="16.5">
      <c r="E235" s="33"/>
      <c r="F235" s="34"/>
      <c r="G235" s="33"/>
      <c r="H235" s="33"/>
      <c r="I235" s="33"/>
      <c r="J235" s="33"/>
      <c r="L235" s="33"/>
      <c r="M235" s="33"/>
      <c r="N235" s="33"/>
      <c r="O235" s="33"/>
    </row>
    <row r="236" spans="5:15" ht="16.5">
      <c r="E236" s="33"/>
      <c r="F236" s="34"/>
      <c r="G236" s="33"/>
      <c r="H236" s="33"/>
      <c r="I236" s="33"/>
      <c r="J236" s="33"/>
      <c r="L236" s="33"/>
      <c r="M236" s="33"/>
      <c r="N236" s="33"/>
      <c r="O236" s="33"/>
    </row>
    <row r="237" spans="5:15" ht="16.5">
      <c r="E237" s="33"/>
      <c r="F237" s="34"/>
      <c r="G237" s="33"/>
      <c r="H237" s="33"/>
      <c r="I237" s="33"/>
      <c r="J237" s="33"/>
      <c r="L237" s="33"/>
      <c r="M237" s="33"/>
      <c r="N237" s="33"/>
      <c r="O237" s="33"/>
    </row>
    <row r="238" spans="5:15" ht="16.5">
      <c r="E238" s="33"/>
      <c r="F238" s="34"/>
      <c r="G238" s="33"/>
      <c r="H238" s="33"/>
      <c r="I238" s="33"/>
      <c r="J238" s="33"/>
      <c r="L238" s="33"/>
      <c r="M238" s="33"/>
      <c r="N238" s="33"/>
      <c r="O238" s="33"/>
    </row>
    <row r="239" spans="5:15" ht="16.5">
      <c r="E239" s="33"/>
      <c r="F239" s="34"/>
      <c r="G239" s="33"/>
      <c r="H239" s="33"/>
      <c r="I239" s="33"/>
      <c r="J239" s="33"/>
      <c r="L239" s="33"/>
      <c r="M239" s="33"/>
      <c r="N239" s="33"/>
      <c r="O239" s="33"/>
    </row>
    <row r="240" spans="5:15" ht="16.5">
      <c r="E240" s="33"/>
      <c r="F240" s="34"/>
      <c r="G240" s="33"/>
      <c r="H240" s="33"/>
      <c r="I240" s="33"/>
      <c r="J240" s="33"/>
      <c r="L240" s="33"/>
      <c r="M240" s="33"/>
      <c r="N240" s="33"/>
      <c r="O240" s="33"/>
    </row>
    <row r="241" spans="5:15" ht="16.5">
      <c r="E241" s="33"/>
      <c r="F241" s="34"/>
      <c r="G241" s="33"/>
      <c r="H241" s="33"/>
      <c r="I241" s="33"/>
      <c r="J241" s="33"/>
      <c r="L241" s="33"/>
      <c r="M241" s="33"/>
      <c r="N241" s="33"/>
      <c r="O241" s="33"/>
    </row>
    <row r="242" spans="5:15" ht="16.5">
      <c r="E242" s="33"/>
      <c r="F242" s="34"/>
      <c r="G242" s="33"/>
      <c r="H242" s="33"/>
      <c r="I242" s="33"/>
      <c r="J242" s="33"/>
      <c r="L242" s="33"/>
      <c r="M242" s="33"/>
      <c r="N242" s="33"/>
      <c r="O242" s="33"/>
    </row>
    <row r="243" spans="5:15" ht="16.5">
      <c r="E243" s="33"/>
      <c r="F243" s="34"/>
      <c r="G243" s="33"/>
      <c r="H243" s="33"/>
      <c r="I243" s="33"/>
      <c r="J243" s="33"/>
      <c r="L243" s="33"/>
      <c r="M243" s="33"/>
      <c r="N243" s="33"/>
      <c r="O243" s="33"/>
    </row>
    <row r="244" spans="5:15" ht="16.5">
      <c r="E244" s="33"/>
      <c r="F244" s="34"/>
      <c r="G244" s="33"/>
      <c r="H244" s="33"/>
      <c r="I244" s="33"/>
      <c r="J244" s="33"/>
      <c r="L244" s="33"/>
      <c r="M244" s="33"/>
      <c r="N244" s="33"/>
      <c r="O244" s="33"/>
    </row>
    <row r="245" spans="5:15" ht="16.5">
      <c r="E245" s="33"/>
      <c r="F245" s="34"/>
      <c r="G245" s="33"/>
      <c r="H245" s="33"/>
      <c r="I245" s="33"/>
      <c r="J245" s="33"/>
      <c r="L245" s="33"/>
      <c r="M245" s="33"/>
      <c r="N245" s="33"/>
      <c r="O245" s="33"/>
    </row>
    <row r="246" spans="5:15" ht="16.5">
      <c r="E246" s="33"/>
      <c r="F246" s="34"/>
      <c r="G246" s="33"/>
      <c r="H246" s="33"/>
      <c r="I246" s="33"/>
      <c r="J246" s="33"/>
      <c r="L246" s="33"/>
      <c r="M246" s="33"/>
      <c r="N246" s="33"/>
      <c r="O246" s="33"/>
    </row>
    <row r="247" spans="5:15" ht="16.5">
      <c r="E247" s="33"/>
      <c r="F247" s="34"/>
      <c r="G247" s="33"/>
      <c r="H247" s="33"/>
      <c r="I247" s="33"/>
      <c r="J247" s="33"/>
      <c r="L247" s="33"/>
      <c r="M247" s="33"/>
      <c r="N247" s="33"/>
      <c r="O247" s="33"/>
    </row>
    <row r="248" spans="5:15" ht="16.5">
      <c r="E248" s="33"/>
      <c r="F248" s="34"/>
      <c r="G248" s="33"/>
      <c r="H248" s="33"/>
      <c r="I248" s="33"/>
      <c r="J248" s="33"/>
      <c r="L248" s="33"/>
      <c r="M248" s="33"/>
      <c r="N248" s="33"/>
      <c r="O248" s="33"/>
    </row>
    <row r="249" spans="5:15" ht="16.5">
      <c r="E249" s="33"/>
      <c r="F249" s="34"/>
      <c r="G249" s="33"/>
      <c r="H249" s="33"/>
      <c r="I249" s="33"/>
      <c r="J249" s="33"/>
      <c r="L249" s="33"/>
      <c r="M249" s="33"/>
      <c r="N249" s="33"/>
      <c r="O249" s="33"/>
    </row>
    <row r="250" spans="5:15" ht="16.5">
      <c r="E250" s="33"/>
      <c r="F250" s="34"/>
      <c r="G250" s="33"/>
      <c r="H250" s="33"/>
      <c r="I250" s="33"/>
      <c r="J250" s="33"/>
      <c r="L250" s="33"/>
      <c r="M250" s="33"/>
      <c r="N250" s="33"/>
      <c r="O250" s="33"/>
    </row>
    <row r="251" spans="5:15" ht="16.5">
      <c r="E251" s="33"/>
      <c r="F251" s="34"/>
      <c r="G251" s="33"/>
      <c r="H251" s="33"/>
      <c r="I251" s="33"/>
      <c r="J251" s="33"/>
      <c r="L251" s="33"/>
      <c r="M251" s="33"/>
      <c r="N251" s="33"/>
      <c r="O251" s="33"/>
    </row>
    <row r="252" spans="5:15" ht="16.5">
      <c r="E252" s="33"/>
      <c r="F252" s="34"/>
      <c r="G252" s="33"/>
      <c r="H252" s="33"/>
      <c r="I252" s="33"/>
      <c r="J252" s="33"/>
      <c r="L252" s="33"/>
      <c r="M252" s="33"/>
      <c r="N252" s="33"/>
      <c r="O252" s="33"/>
    </row>
    <row r="253" spans="5:15" ht="16.5">
      <c r="E253" s="33"/>
      <c r="F253" s="34"/>
      <c r="G253" s="33"/>
      <c r="H253" s="33"/>
      <c r="I253" s="33"/>
      <c r="J253" s="33"/>
      <c r="L253" s="33"/>
      <c r="M253" s="33"/>
      <c r="N253" s="33"/>
      <c r="O253" s="33"/>
    </row>
    <row r="254" spans="5:15" ht="16.5">
      <c r="E254" s="33"/>
      <c r="F254" s="34"/>
      <c r="G254" s="33"/>
      <c r="H254" s="33"/>
      <c r="I254" s="33"/>
      <c r="J254" s="33"/>
      <c r="L254" s="33"/>
      <c r="M254" s="33"/>
      <c r="N254" s="33"/>
      <c r="O254" s="33"/>
    </row>
    <row r="255" spans="5:15" ht="16.5">
      <c r="E255" s="33"/>
      <c r="F255" s="34"/>
      <c r="G255" s="33"/>
      <c r="H255" s="33"/>
      <c r="I255" s="33"/>
      <c r="J255" s="33"/>
      <c r="L255" s="33"/>
      <c r="M255" s="33"/>
      <c r="N255" s="33"/>
      <c r="O255" s="33"/>
    </row>
    <row r="256" spans="5:15" ht="16.5">
      <c r="E256" s="33"/>
      <c r="F256" s="34"/>
      <c r="G256" s="33"/>
      <c r="H256" s="33"/>
      <c r="I256" s="33"/>
      <c r="J256" s="33"/>
      <c r="L256" s="33"/>
      <c r="M256" s="33"/>
      <c r="N256" s="33"/>
      <c r="O256" s="33"/>
    </row>
    <row r="257" spans="5:15" ht="16.5">
      <c r="E257" s="33"/>
      <c r="F257" s="34"/>
      <c r="G257" s="33"/>
      <c r="H257" s="33"/>
      <c r="I257" s="33"/>
      <c r="J257" s="33"/>
      <c r="L257" s="33"/>
      <c r="M257" s="33"/>
      <c r="N257" s="33"/>
      <c r="O257" s="33"/>
    </row>
    <row r="258" spans="5:15" ht="16.5">
      <c r="E258" s="33"/>
      <c r="F258" s="34"/>
      <c r="G258" s="33"/>
      <c r="H258" s="33"/>
      <c r="I258" s="33"/>
      <c r="J258" s="33"/>
      <c r="L258" s="33"/>
      <c r="M258" s="33"/>
      <c r="N258" s="33"/>
      <c r="O258" s="33"/>
    </row>
    <row r="259" spans="5:15" ht="16.5">
      <c r="E259" s="33"/>
      <c r="F259" s="34"/>
      <c r="G259" s="33"/>
      <c r="H259" s="33"/>
      <c r="I259" s="33"/>
      <c r="J259" s="33"/>
      <c r="L259" s="33"/>
      <c r="M259" s="33"/>
      <c r="N259" s="33"/>
      <c r="O259" s="33"/>
    </row>
    <row r="260" spans="5:15" ht="16.5">
      <c r="E260" s="33"/>
      <c r="F260" s="34"/>
      <c r="G260" s="33"/>
      <c r="H260" s="33"/>
      <c r="I260" s="33"/>
      <c r="J260" s="33"/>
      <c r="L260" s="33"/>
      <c r="M260" s="33"/>
      <c r="N260" s="33"/>
      <c r="O260" s="33"/>
    </row>
    <row r="261" spans="5:15" ht="16.5">
      <c r="E261" s="33"/>
      <c r="F261" s="34"/>
      <c r="G261" s="33"/>
      <c r="H261" s="33"/>
      <c r="I261" s="33"/>
      <c r="J261" s="33"/>
      <c r="L261" s="33"/>
      <c r="M261" s="33"/>
      <c r="N261" s="33"/>
      <c r="O261" s="33"/>
    </row>
    <row r="262" spans="5:15" ht="16.5">
      <c r="E262" s="33"/>
      <c r="F262" s="34"/>
      <c r="G262" s="33"/>
      <c r="H262" s="33"/>
      <c r="I262" s="33"/>
      <c r="J262" s="33"/>
      <c r="L262" s="33"/>
      <c r="M262" s="33"/>
      <c r="N262" s="33"/>
      <c r="O262" s="33"/>
    </row>
    <row r="263" spans="5:15" ht="16.5">
      <c r="E263" s="33"/>
      <c r="F263" s="34"/>
      <c r="G263" s="33"/>
      <c r="H263" s="33"/>
      <c r="I263" s="33"/>
      <c r="J263" s="33"/>
      <c r="L263" s="33"/>
      <c r="M263" s="33"/>
      <c r="N263" s="33"/>
      <c r="O263" s="33"/>
    </row>
    <row r="264" spans="5:15" ht="16.5">
      <c r="E264" s="33"/>
      <c r="F264" s="34"/>
      <c r="G264" s="33"/>
      <c r="H264" s="33"/>
      <c r="I264" s="33"/>
      <c r="J264" s="33"/>
      <c r="L264" s="33"/>
      <c r="M264" s="33"/>
      <c r="N264" s="33"/>
      <c r="O264" s="33"/>
    </row>
    <row r="265" spans="5:15" ht="16.5">
      <c r="E265" s="33"/>
      <c r="F265" s="34"/>
      <c r="G265" s="33"/>
      <c r="H265" s="33"/>
      <c r="I265" s="33"/>
      <c r="J265" s="33"/>
      <c r="L265" s="33"/>
      <c r="M265" s="33"/>
      <c r="N265" s="33"/>
      <c r="O265" s="33"/>
    </row>
    <row r="266" spans="5:15" ht="16.5">
      <c r="E266" s="33"/>
      <c r="F266" s="34"/>
      <c r="G266" s="33"/>
      <c r="H266" s="33"/>
      <c r="I266" s="33"/>
      <c r="J266" s="33"/>
      <c r="L266" s="33"/>
      <c r="M266" s="33"/>
      <c r="N266" s="33"/>
      <c r="O266" s="33"/>
    </row>
    <row r="267" spans="5:15" ht="16.5">
      <c r="E267" s="33"/>
      <c r="F267" s="34"/>
      <c r="G267" s="33"/>
      <c r="H267" s="33"/>
      <c r="I267" s="33"/>
      <c r="J267" s="33"/>
      <c r="L267" s="33"/>
      <c r="M267" s="33"/>
      <c r="N267" s="33"/>
      <c r="O267" s="33"/>
    </row>
    <row r="268" spans="5:15" ht="16.5">
      <c r="E268" s="33"/>
      <c r="F268" s="34"/>
      <c r="G268" s="33"/>
      <c r="H268" s="33"/>
      <c r="I268" s="33"/>
      <c r="J268" s="33"/>
      <c r="L268" s="33"/>
      <c r="M268" s="33"/>
      <c r="N268" s="33"/>
      <c r="O268" s="33"/>
    </row>
    <row r="269" spans="5:15" ht="16.5">
      <c r="E269" s="33"/>
      <c r="F269" s="34"/>
      <c r="G269" s="33"/>
      <c r="H269" s="33"/>
      <c r="I269" s="33"/>
      <c r="J269" s="33"/>
      <c r="L269" s="33"/>
      <c r="M269" s="33"/>
      <c r="N269" s="33"/>
      <c r="O269" s="33"/>
    </row>
    <row r="270" spans="5:15" ht="16.5">
      <c r="E270" s="33"/>
      <c r="F270" s="34"/>
      <c r="G270" s="33"/>
      <c r="H270" s="33"/>
      <c r="I270" s="33"/>
      <c r="J270" s="33"/>
      <c r="L270" s="33"/>
      <c r="M270" s="33"/>
      <c r="N270" s="33"/>
      <c r="O270" s="33"/>
    </row>
    <row r="271" spans="5:15" ht="16.5">
      <c r="E271" s="33"/>
      <c r="F271" s="34"/>
      <c r="G271" s="33"/>
      <c r="H271" s="33"/>
      <c r="I271" s="33"/>
      <c r="J271" s="33"/>
      <c r="L271" s="33"/>
      <c r="M271" s="33"/>
      <c r="N271" s="33"/>
      <c r="O271" s="33"/>
    </row>
    <row r="272" spans="5:15" ht="16.5">
      <c r="E272" s="33"/>
      <c r="F272" s="34"/>
      <c r="G272" s="33"/>
      <c r="H272" s="33"/>
      <c r="I272" s="33"/>
      <c r="J272" s="33"/>
      <c r="L272" s="33"/>
      <c r="M272" s="33"/>
      <c r="N272" s="33"/>
      <c r="O272" s="33"/>
    </row>
    <row r="273" spans="5:15" ht="16.5">
      <c r="E273" s="33"/>
      <c r="F273" s="34"/>
      <c r="G273" s="33"/>
      <c r="H273" s="33"/>
      <c r="I273" s="33"/>
      <c r="J273" s="33"/>
      <c r="L273" s="33"/>
      <c r="M273" s="33"/>
      <c r="N273" s="33"/>
      <c r="O273" s="33"/>
    </row>
    <row r="274" spans="5:15" ht="16.5">
      <c r="E274" s="33"/>
      <c r="F274" s="34"/>
      <c r="G274" s="33"/>
      <c r="H274" s="33"/>
      <c r="I274" s="33"/>
      <c r="J274" s="33"/>
      <c r="L274" s="33"/>
      <c r="M274" s="33"/>
      <c r="N274" s="33"/>
      <c r="O274" s="33"/>
    </row>
    <row r="275" spans="5:15" ht="16.5">
      <c r="E275" s="33"/>
      <c r="F275" s="34"/>
      <c r="G275" s="33"/>
      <c r="H275" s="33"/>
      <c r="I275" s="33"/>
      <c r="J275" s="33"/>
      <c r="L275" s="33"/>
      <c r="M275" s="33"/>
      <c r="N275" s="33"/>
      <c r="O275" s="33"/>
    </row>
    <row r="276" spans="5:15" ht="16.5">
      <c r="E276" s="33"/>
      <c r="F276" s="34"/>
      <c r="G276" s="33"/>
      <c r="H276" s="33"/>
      <c r="I276" s="33"/>
      <c r="J276" s="33"/>
      <c r="L276" s="33"/>
      <c r="M276" s="33"/>
      <c r="N276" s="33"/>
      <c r="O276" s="33"/>
    </row>
    <row r="277" spans="5:15" ht="16.5">
      <c r="E277" s="33"/>
      <c r="F277" s="34"/>
      <c r="G277" s="33"/>
      <c r="H277" s="33"/>
      <c r="I277" s="33"/>
      <c r="J277" s="33"/>
      <c r="L277" s="33"/>
      <c r="M277" s="33"/>
      <c r="N277" s="33"/>
      <c r="O277" s="33"/>
    </row>
    <row r="278" spans="5:15" ht="16.5">
      <c r="E278" s="33"/>
      <c r="F278" s="34"/>
      <c r="G278" s="33"/>
      <c r="H278" s="33"/>
      <c r="I278" s="33"/>
      <c r="J278" s="33"/>
      <c r="L278" s="33"/>
      <c r="M278" s="33"/>
      <c r="N278" s="33"/>
      <c r="O278" s="33"/>
    </row>
    <row r="279" spans="5:15" ht="16.5">
      <c r="E279" s="33"/>
      <c r="F279" s="34"/>
      <c r="G279" s="33"/>
      <c r="H279" s="33"/>
      <c r="I279" s="33"/>
      <c r="J279" s="33"/>
      <c r="L279" s="33"/>
      <c r="M279" s="33"/>
      <c r="N279" s="33"/>
      <c r="O279" s="33"/>
    </row>
    <row r="280" spans="5:15" ht="16.5">
      <c r="E280" s="33"/>
      <c r="F280" s="34"/>
      <c r="G280" s="33"/>
      <c r="H280" s="33"/>
      <c r="I280" s="33"/>
      <c r="J280" s="33"/>
      <c r="L280" s="33"/>
      <c r="M280" s="33"/>
      <c r="N280" s="33"/>
      <c r="O280" s="33"/>
    </row>
    <row r="281" spans="5:15" ht="16.5">
      <c r="E281" s="33"/>
      <c r="F281" s="34"/>
      <c r="G281" s="33"/>
      <c r="H281" s="33"/>
      <c r="I281" s="33"/>
      <c r="J281" s="33"/>
      <c r="L281" s="33"/>
      <c r="M281" s="33"/>
      <c r="N281" s="33"/>
      <c r="O281" s="33"/>
    </row>
    <row r="282" spans="5:15" ht="16.5">
      <c r="E282" s="33"/>
      <c r="F282" s="34"/>
      <c r="G282" s="33"/>
      <c r="H282" s="33"/>
      <c r="I282" s="33"/>
      <c r="J282" s="33"/>
      <c r="L282" s="33"/>
      <c r="M282" s="33"/>
      <c r="N282" s="33"/>
      <c r="O282" s="33"/>
    </row>
    <row r="283" spans="5:15" ht="16.5">
      <c r="E283" s="33"/>
      <c r="F283" s="34"/>
      <c r="G283" s="33"/>
      <c r="H283" s="33"/>
      <c r="I283" s="33"/>
      <c r="J283" s="33"/>
      <c r="L283" s="33"/>
      <c r="M283" s="33"/>
      <c r="N283" s="33"/>
      <c r="O283" s="33"/>
    </row>
    <row r="284" spans="5:15" ht="16.5">
      <c r="E284" s="33"/>
      <c r="F284" s="34"/>
      <c r="G284" s="33"/>
      <c r="H284" s="33"/>
      <c r="I284" s="33"/>
      <c r="J284" s="33"/>
      <c r="L284" s="33"/>
      <c r="M284" s="33"/>
      <c r="N284" s="33"/>
      <c r="O284" s="33"/>
    </row>
    <row r="285" spans="5:15" ht="16.5">
      <c r="E285" s="33"/>
      <c r="F285" s="34"/>
      <c r="G285" s="33"/>
      <c r="H285" s="33"/>
      <c r="I285" s="33"/>
      <c r="J285" s="33"/>
      <c r="L285" s="33"/>
      <c r="M285" s="33"/>
      <c r="N285" s="33"/>
      <c r="O285" s="33"/>
    </row>
    <row r="286" spans="5:15" ht="16.5">
      <c r="E286" s="33"/>
      <c r="F286" s="34"/>
      <c r="G286" s="33"/>
      <c r="H286" s="33"/>
      <c r="I286" s="33"/>
      <c r="J286" s="33"/>
      <c r="L286" s="33"/>
      <c r="M286" s="33"/>
      <c r="N286" s="33"/>
      <c r="O286" s="33"/>
    </row>
    <row r="287" spans="5:15" ht="16.5">
      <c r="E287" s="33"/>
      <c r="F287" s="34"/>
      <c r="G287" s="33"/>
      <c r="H287" s="33"/>
      <c r="I287" s="33"/>
      <c r="J287" s="33"/>
      <c r="L287" s="33"/>
      <c r="M287" s="33"/>
      <c r="N287" s="33"/>
      <c r="O287" s="33"/>
    </row>
    <row r="288" spans="5:15" ht="16.5">
      <c r="E288" s="33"/>
      <c r="F288" s="34"/>
      <c r="G288" s="33"/>
      <c r="H288" s="33"/>
      <c r="I288" s="33"/>
      <c r="J288" s="33"/>
      <c r="L288" s="33"/>
      <c r="M288" s="33"/>
      <c r="N288" s="33"/>
      <c r="O288" s="33"/>
    </row>
    <row r="289" spans="5:15" ht="16.5">
      <c r="E289" s="33"/>
      <c r="F289" s="34"/>
      <c r="G289" s="33"/>
      <c r="H289" s="33"/>
      <c r="I289" s="33"/>
      <c r="J289" s="33"/>
      <c r="L289" s="33"/>
      <c r="M289" s="33"/>
      <c r="N289" s="33"/>
      <c r="O289" s="33"/>
    </row>
    <row r="290" spans="5:15" ht="16.5">
      <c r="E290" s="33"/>
      <c r="F290" s="34"/>
      <c r="G290" s="33"/>
      <c r="H290" s="33"/>
      <c r="I290" s="33"/>
      <c r="J290" s="33"/>
      <c r="L290" s="33"/>
      <c r="M290" s="33"/>
      <c r="N290" s="33"/>
      <c r="O290" s="33"/>
    </row>
    <row r="291" spans="5:15" ht="16.5">
      <c r="E291" s="33"/>
      <c r="F291" s="34"/>
      <c r="G291" s="33"/>
      <c r="H291" s="33"/>
      <c r="I291" s="33"/>
      <c r="J291" s="33"/>
      <c r="L291" s="33"/>
      <c r="M291" s="33"/>
      <c r="N291" s="33"/>
      <c r="O291" s="33"/>
    </row>
    <row r="292" spans="5:15" ht="16.5">
      <c r="E292" s="33"/>
      <c r="F292" s="34"/>
      <c r="G292" s="33"/>
      <c r="H292" s="33"/>
      <c r="I292" s="33"/>
      <c r="J292" s="33"/>
      <c r="L292" s="33"/>
      <c r="M292" s="33"/>
      <c r="N292" s="33"/>
      <c r="O292" s="33"/>
    </row>
    <row r="293" spans="5:15" ht="16.5">
      <c r="E293" s="33"/>
      <c r="F293" s="34"/>
      <c r="G293" s="33"/>
      <c r="H293" s="33"/>
      <c r="I293" s="33"/>
      <c r="J293" s="33"/>
      <c r="L293" s="33"/>
      <c r="M293" s="33"/>
      <c r="N293" s="33"/>
      <c r="O293" s="33"/>
    </row>
    <row r="294" spans="5:15" ht="16.5">
      <c r="E294" s="33"/>
      <c r="F294" s="34"/>
      <c r="G294" s="33"/>
      <c r="H294" s="33"/>
      <c r="I294" s="33"/>
      <c r="J294" s="33"/>
      <c r="L294" s="33"/>
      <c r="M294" s="33"/>
      <c r="N294" s="33"/>
      <c r="O294" s="33"/>
    </row>
    <row r="295" spans="5:15" ht="16.5">
      <c r="E295" s="33"/>
      <c r="F295" s="34"/>
      <c r="G295" s="33"/>
      <c r="H295" s="33"/>
      <c r="I295" s="33"/>
      <c r="J295" s="33"/>
      <c r="L295" s="33"/>
      <c r="M295" s="33"/>
      <c r="N295" s="33"/>
      <c r="O295" s="33"/>
    </row>
    <row r="296" spans="5:15" ht="16.5">
      <c r="E296" s="33"/>
      <c r="F296" s="34"/>
      <c r="G296" s="33"/>
      <c r="H296" s="33"/>
      <c r="I296" s="33"/>
      <c r="J296" s="33"/>
      <c r="L296" s="33"/>
      <c r="M296" s="33"/>
      <c r="N296" s="33"/>
      <c r="O296" s="33"/>
    </row>
    <row r="297" spans="5:15" ht="16.5">
      <c r="E297" s="33"/>
      <c r="F297" s="34"/>
      <c r="G297" s="33"/>
      <c r="H297" s="33"/>
      <c r="I297" s="33"/>
      <c r="J297" s="33"/>
      <c r="L297" s="33"/>
      <c r="M297" s="33"/>
      <c r="N297" s="33"/>
      <c r="O297" s="33"/>
    </row>
    <row r="298" spans="5:15" ht="16.5">
      <c r="E298" s="33"/>
      <c r="F298" s="34"/>
      <c r="G298" s="33"/>
      <c r="H298" s="33"/>
      <c r="I298" s="33"/>
      <c r="J298" s="33"/>
      <c r="L298" s="33"/>
      <c r="M298" s="33"/>
      <c r="N298" s="33"/>
      <c r="O298" s="33"/>
    </row>
    <row r="299" spans="5:15" ht="16.5">
      <c r="E299" s="33"/>
      <c r="F299" s="34"/>
      <c r="G299" s="33"/>
      <c r="H299" s="33"/>
      <c r="I299" s="33"/>
      <c r="J299" s="33"/>
      <c r="L299" s="33"/>
      <c r="M299" s="33"/>
      <c r="N299" s="33"/>
      <c r="O299" s="33"/>
    </row>
    <row r="300" spans="5:15" ht="16.5">
      <c r="E300" s="33"/>
      <c r="F300" s="34"/>
      <c r="G300" s="33"/>
      <c r="H300" s="33"/>
      <c r="I300" s="33"/>
      <c r="J300" s="33"/>
      <c r="L300" s="33"/>
      <c r="M300" s="33"/>
      <c r="N300" s="33"/>
      <c r="O300" s="33"/>
    </row>
    <row r="301" spans="5:15" ht="16.5">
      <c r="E301" s="33"/>
      <c r="F301" s="34"/>
      <c r="G301" s="33"/>
      <c r="H301" s="33"/>
      <c r="I301" s="33"/>
      <c r="J301" s="33"/>
      <c r="L301" s="33"/>
      <c r="M301" s="33"/>
      <c r="N301" s="33"/>
      <c r="O301" s="33"/>
    </row>
    <row r="302" spans="5:15" ht="16.5">
      <c r="E302" s="33"/>
      <c r="F302" s="34"/>
      <c r="G302" s="33"/>
      <c r="H302" s="33"/>
      <c r="I302" s="33"/>
      <c r="J302" s="33"/>
      <c r="L302" s="33"/>
      <c r="M302" s="33"/>
      <c r="N302" s="33"/>
      <c r="O302" s="33"/>
    </row>
    <row r="303" spans="5:15" ht="16.5">
      <c r="E303" s="33"/>
      <c r="F303" s="34"/>
      <c r="G303" s="33"/>
      <c r="H303" s="33"/>
      <c r="I303" s="33"/>
      <c r="J303" s="33"/>
      <c r="L303" s="33"/>
      <c r="M303" s="33"/>
      <c r="N303" s="33"/>
      <c r="O303" s="33"/>
    </row>
    <row r="304" spans="5:15" ht="16.5">
      <c r="E304" s="33"/>
      <c r="F304" s="34"/>
      <c r="G304" s="33"/>
      <c r="H304" s="33"/>
      <c r="I304" s="33"/>
      <c r="J304" s="33"/>
      <c r="L304" s="33"/>
      <c r="M304" s="33"/>
      <c r="N304" s="33"/>
      <c r="O304" s="33"/>
    </row>
    <row r="305" spans="5:15" ht="16.5">
      <c r="E305" s="33"/>
      <c r="F305" s="34"/>
      <c r="G305" s="33"/>
      <c r="H305" s="33"/>
      <c r="I305" s="33"/>
      <c r="J305" s="33"/>
      <c r="L305" s="33"/>
      <c r="M305" s="33"/>
      <c r="N305" s="33"/>
      <c r="O305" s="33"/>
    </row>
    <row r="306" spans="5:15" ht="16.5">
      <c r="E306" s="33"/>
      <c r="F306" s="34"/>
      <c r="G306" s="33"/>
      <c r="H306" s="33"/>
      <c r="I306" s="33"/>
      <c r="J306" s="33"/>
      <c r="L306" s="33"/>
      <c r="M306" s="33"/>
      <c r="N306" s="33"/>
      <c r="O306" s="33"/>
    </row>
    <row r="307" spans="5:15" ht="16.5">
      <c r="E307" s="33"/>
      <c r="F307" s="34"/>
      <c r="G307" s="33"/>
      <c r="H307" s="33"/>
      <c r="I307" s="33"/>
      <c r="J307" s="33"/>
      <c r="L307" s="33"/>
      <c r="M307" s="33"/>
      <c r="N307" s="33"/>
      <c r="O307" s="33"/>
    </row>
    <row r="308" spans="5:15" ht="16.5">
      <c r="E308" s="33"/>
      <c r="F308" s="34"/>
      <c r="G308" s="33"/>
      <c r="H308" s="33"/>
      <c r="I308" s="33"/>
      <c r="J308" s="33"/>
      <c r="L308" s="33"/>
      <c r="M308" s="33"/>
      <c r="N308" s="33"/>
      <c r="O308" s="33"/>
    </row>
    <row r="309" spans="5:15" ht="16.5">
      <c r="E309" s="33"/>
      <c r="F309" s="34"/>
      <c r="G309" s="33"/>
      <c r="H309" s="33"/>
      <c r="I309" s="33"/>
      <c r="J309" s="33"/>
      <c r="L309" s="33"/>
      <c r="M309" s="33"/>
      <c r="N309" s="33"/>
      <c r="O309" s="33"/>
    </row>
    <row r="310" spans="5:15" ht="16.5">
      <c r="E310" s="33"/>
      <c r="F310" s="34"/>
      <c r="G310" s="33"/>
      <c r="H310" s="33"/>
      <c r="I310" s="33"/>
      <c r="J310" s="33"/>
      <c r="L310" s="33"/>
      <c r="M310" s="33"/>
      <c r="N310" s="33"/>
      <c r="O310" s="33"/>
    </row>
    <row r="311" spans="5:15" ht="16.5">
      <c r="E311" s="33"/>
      <c r="F311" s="34"/>
      <c r="G311" s="33"/>
      <c r="H311" s="33"/>
      <c r="I311" s="33"/>
      <c r="J311" s="33"/>
      <c r="L311" s="33"/>
      <c r="M311" s="33"/>
      <c r="N311" s="33"/>
      <c r="O311" s="33"/>
    </row>
    <row r="312" spans="5:15" ht="16.5">
      <c r="E312" s="33"/>
      <c r="F312" s="34"/>
      <c r="G312" s="33"/>
      <c r="H312" s="33"/>
      <c r="I312" s="33"/>
      <c r="J312" s="33"/>
      <c r="L312" s="33"/>
      <c r="M312" s="33"/>
      <c r="N312" s="33"/>
      <c r="O312" s="33"/>
    </row>
    <row r="313" spans="5:15" ht="16.5">
      <c r="E313" s="33"/>
      <c r="F313" s="34"/>
      <c r="G313" s="33"/>
      <c r="H313" s="33"/>
      <c r="I313" s="33"/>
      <c r="J313" s="33"/>
      <c r="L313" s="33"/>
      <c r="M313" s="33"/>
      <c r="N313" s="33"/>
      <c r="O313" s="33"/>
    </row>
    <row r="314" spans="5:15" ht="16.5">
      <c r="E314" s="33"/>
      <c r="F314" s="34"/>
      <c r="G314" s="33"/>
      <c r="H314" s="33"/>
      <c r="I314" s="33"/>
      <c r="J314" s="33"/>
      <c r="L314" s="33"/>
      <c r="M314" s="33"/>
      <c r="N314" s="33"/>
      <c r="O314" s="33"/>
    </row>
    <row r="315" spans="5:15" ht="16.5">
      <c r="E315" s="33"/>
      <c r="F315" s="34"/>
      <c r="G315" s="33"/>
      <c r="H315" s="33"/>
      <c r="I315" s="33"/>
      <c r="J315" s="33"/>
      <c r="L315" s="33"/>
      <c r="M315" s="33"/>
      <c r="N315" s="33"/>
      <c r="O315" s="33"/>
    </row>
    <row r="316" spans="5:15" ht="16.5">
      <c r="E316" s="33"/>
      <c r="F316" s="34"/>
      <c r="G316" s="33"/>
      <c r="H316" s="33"/>
      <c r="I316" s="33"/>
      <c r="J316" s="33"/>
      <c r="L316" s="33"/>
      <c r="M316" s="33"/>
      <c r="N316" s="33"/>
      <c r="O316" s="33"/>
    </row>
    <row r="317" spans="5:15" ht="16.5">
      <c r="E317" s="33"/>
      <c r="F317" s="34"/>
      <c r="G317" s="33"/>
      <c r="H317" s="33"/>
      <c r="I317" s="33"/>
      <c r="J317" s="33"/>
      <c r="L317" s="33"/>
      <c r="M317" s="33"/>
      <c r="N317" s="33"/>
      <c r="O317" s="33"/>
    </row>
    <row r="318" spans="5:15" ht="16.5">
      <c r="E318" s="33"/>
      <c r="F318" s="34"/>
      <c r="G318" s="33"/>
      <c r="H318" s="33"/>
      <c r="I318" s="33"/>
      <c r="J318" s="33"/>
      <c r="L318" s="33"/>
      <c r="M318" s="33"/>
      <c r="N318" s="33"/>
      <c r="O318" s="33"/>
    </row>
    <row r="319" spans="5:15" ht="16.5">
      <c r="E319" s="33"/>
      <c r="F319" s="34"/>
      <c r="G319" s="33"/>
      <c r="H319" s="33"/>
      <c r="I319" s="33"/>
      <c r="J319" s="33"/>
      <c r="L319" s="33"/>
      <c r="M319" s="33"/>
      <c r="N319" s="33"/>
      <c r="O319" s="33"/>
    </row>
    <row r="320" spans="5:15" ht="16.5">
      <c r="E320" s="33"/>
      <c r="F320" s="34"/>
      <c r="G320" s="33"/>
      <c r="H320" s="33"/>
      <c r="I320" s="33"/>
      <c r="J320" s="33"/>
      <c r="L320" s="33"/>
      <c r="M320" s="33"/>
      <c r="N320" s="33"/>
      <c r="O320" s="33"/>
    </row>
    <row r="321" spans="5:15" ht="16.5">
      <c r="E321" s="33"/>
      <c r="F321" s="34"/>
      <c r="G321" s="33"/>
      <c r="H321" s="33"/>
      <c r="I321" s="33"/>
      <c r="J321" s="33"/>
      <c r="L321" s="33"/>
      <c r="M321" s="33"/>
      <c r="N321" s="33"/>
      <c r="O321" s="33"/>
    </row>
    <row r="322" spans="5:15" ht="16.5">
      <c r="E322" s="33"/>
      <c r="F322" s="34"/>
      <c r="G322" s="33"/>
      <c r="H322" s="33"/>
      <c r="I322" s="33"/>
      <c r="J322" s="33"/>
      <c r="L322" s="33"/>
      <c r="M322" s="33"/>
      <c r="N322" s="33"/>
      <c r="O322" s="33"/>
    </row>
    <row r="323" spans="5:15" ht="16.5">
      <c r="E323" s="33"/>
      <c r="F323" s="34"/>
      <c r="G323" s="33"/>
      <c r="H323" s="33"/>
      <c r="I323" s="33"/>
      <c r="J323" s="33"/>
      <c r="L323" s="33"/>
      <c r="M323" s="33"/>
      <c r="N323" s="33"/>
      <c r="O323" s="33"/>
    </row>
    <row r="324" spans="5:15" ht="16.5">
      <c r="E324" s="33"/>
      <c r="F324" s="34"/>
      <c r="G324" s="33"/>
      <c r="H324" s="33"/>
      <c r="I324" s="33"/>
      <c r="J324" s="33"/>
      <c r="L324" s="33"/>
      <c r="M324" s="33"/>
      <c r="N324" s="33"/>
      <c r="O324" s="33"/>
    </row>
    <row r="325" spans="5:15" ht="16.5">
      <c r="E325" s="33"/>
      <c r="F325" s="34"/>
      <c r="G325" s="33"/>
      <c r="H325" s="33"/>
      <c r="I325" s="33"/>
      <c r="J325" s="33"/>
      <c r="L325" s="33"/>
      <c r="M325" s="33"/>
      <c r="N325" s="33"/>
      <c r="O325" s="33"/>
    </row>
    <row r="326" spans="5:15" ht="16.5">
      <c r="E326" s="33"/>
      <c r="F326" s="34"/>
      <c r="G326" s="33"/>
      <c r="H326" s="33"/>
      <c r="I326" s="33"/>
      <c r="J326" s="33"/>
      <c r="L326" s="33"/>
      <c r="M326" s="33"/>
      <c r="N326" s="33"/>
      <c r="O326" s="33"/>
    </row>
    <row r="327" spans="5:15" ht="16.5">
      <c r="E327" s="33"/>
      <c r="F327" s="34"/>
      <c r="G327" s="33"/>
      <c r="H327" s="33"/>
      <c r="I327" s="33"/>
      <c r="J327" s="33"/>
      <c r="L327" s="33"/>
      <c r="M327" s="33"/>
      <c r="N327" s="33"/>
      <c r="O327" s="33"/>
    </row>
    <row r="328" spans="5:15" ht="16.5">
      <c r="E328" s="33"/>
      <c r="F328" s="34"/>
      <c r="G328" s="33"/>
      <c r="H328" s="33"/>
      <c r="I328" s="33"/>
      <c r="J328" s="33"/>
      <c r="L328" s="33"/>
      <c r="M328" s="33"/>
      <c r="N328" s="33"/>
      <c r="O328" s="33"/>
    </row>
    <row r="329" spans="5:15" ht="16.5">
      <c r="E329" s="33"/>
      <c r="F329" s="34"/>
      <c r="G329" s="33"/>
      <c r="H329" s="33"/>
      <c r="I329" s="33"/>
      <c r="J329" s="33"/>
      <c r="L329" s="33"/>
      <c r="M329" s="33"/>
      <c r="N329" s="33"/>
      <c r="O329" s="33"/>
    </row>
    <row r="330" spans="5:15" ht="16.5">
      <c r="E330" s="33"/>
      <c r="F330" s="34"/>
      <c r="G330" s="33"/>
      <c r="H330" s="33"/>
      <c r="I330" s="33"/>
      <c r="J330" s="33"/>
      <c r="L330" s="33"/>
      <c r="M330" s="33"/>
      <c r="N330" s="33"/>
      <c r="O330" s="33"/>
    </row>
    <row r="331" spans="5:15" ht="16.5">
      <c r="E331" s="33"/>
      <c r="F331" s="34"/>
      <c r="G331" s="33"/>
      <c r="H331" s="33"/>
      <c r="I331" s="33"/>
      <c r="J331" s="33"/>
      <c r="L331" s="33"/>
      <c r="M331" s="33"/>
      <c r="N331" s="33"/>
      <c r="O331" s="33"/>
    </row>
    <row r="332" spans="5:15" ht="16.5">
      <c r="E332" s="33"/>
      <c r="F332" s="34"/>
      <c r="G332" s="33"/>
      <c r="H332" s="33"/>
      <c r="I332" s="33"/>
      <c r="J332" s="33"/>
      <c r="L332" s="33"/>
      <c r="M332" s="33"/>
      <c r="N332" s="33"/>
      <c r="O332" s="33"/>
    </row>
    <row r="333" spans="5:15" ht="16.5">
      <c r="E333" s="33"/>
      <c r="F333" s="34"/>
      <c r="G333" s="33"/>
      <c r="H333" s="33"/>
      <c r="I333" s="33"/>
      <c r="J333" s="33"/>
      <c r="L333" s="33"/>
      <c r="M333" s="33"/>
      <c r="N333" s="33"/>
      <c r="O333" s="33"/>
    </row>
    <row r="334" spans="5:15" ht="16.5">
      <c r="E334" s="33"/>
      <c r="F334" s="34"/>
      <c r="G334" s="33"/>
      <c r="H334" s="33"/>
      <c r="I334" s="33"/>
      <c r="J334" s="33"/>
      <c r="L334" s="33"/>
      <c r="M334" s="33"/>
      <c r="N334" s="33"/>
      <c r="O334" s="33"/>
    </row>
    <row r="335" spans="5:15" ht="16.5">
      <c r="E335" s="33"/>
      <c r="F335" s="34"/>
      <c r="G335" s="33"/>
      <c r="H335" s="33"/>
      <c r="I335" s="33"/>
      <c r="J335" s="33"/>
      <c r="L335" s="33"/>
      <c r="M335" s="33"/>
      <c r="N335" s="33"/>
      <c r="O335" s="33"/>
    </row>
    <row r="336" spans="5:15" ht="16.5">
      <c r="E336" s="33"/>
      <c r="F336" s="34"/>
      <c r="G336" s="33"/>
      <c r="H336" s="33"/>
      <c r="I336" s="33"/>
      <c r="J336" s="33"/>
      <c r="L336" s="33"/>
      <c r="M336" s="33"/>
      <c r="N336" s="33"/>
      <c r="O336" s="33"/>
    </row>
    <row r="337" spans="5:15" ht="16.5">
      <c r="E337" s="33"/>
      <c r="F337" s="34"/>
      <c r="G337" s="33"/>
      <c r="H337" s="33"/>
      <c r="I337" s="33"/>
      <c r="J337" s="33"/>
      <c r="L337" s="33"/>
      <c r="M337" s="33"/>
      <c r="N337" s="33"/>
      <c r="O337" s="33"/>
    </row>
    <row r="338" spans="5:15" ht="16.5">
      <c r="E338" s="33"/>
      <c r="F338" s="34"/>
      <c r="G338" s="33"/>
      <c r="H338" s="33"/>
      <c r="I338" s="33"/>
      <c r="J338" s="33"/>
      <c r="L338" s="33"/>
      <c r="M338" s="33"/>
      <c r="N338" s="33"/>
      <c r="O338" s="33"/>
    </row>
    <row r="339" spans="5:15" ht="16.5">
      <c r="E339" s="33"/>
      <c r="F339" s="34"/>
      <c r="G339" s="33"/>
      <c r="H339" s="33"/>
      <c r="I339" s="33"/>
      <c r="J339" s="33"/>
      <c r="L339" s="33"/>
      <c r="M339" s="33"/>
      <c r="N339" s="33"/>
      <c r="O339" s="33"/>
    </row>
    <row r="340" spans="5:15" ht="16.5">
      <c r="E340" s="33"/>
      <c r="F340" s="34"/>
      <c r="G340" s="33"/>
      <c r="H340" s="33"/>
      <c r="I340" s="33"/>
      <c r="J340" s="33"/>
      <c r="L340" s="33"/>
      <c r="M340" s="33"/>
      <c r="N340" s="33"/>
      <c r="O340" s="33"/>
    </row>
    <row r="341" spans="5:15" ht="16.5">
      <c r="E341" s="33"/>
      <c r="F341" s="34"/>
      <c r="G341" s="33"/>
      <c r="H341" s="33"/>
      <c r="I341" s="33"/>
      <c r="J341" s="33"/>
      <c r="L341" s="33"/>
      <c r="M341" s="33"/>
      <c r="N341" s="33"/>
      <c r="O341" s="33"/>
    </row>
    <row r="342" spans="5:15" ht="16.5">
      <c r="E342" s="33"/>
      <c r="F342" s="34"/>
      <c r="G342" s="33"/>
      <c r="H342" s="33"/>
      <c r="I342" s="33"/>
      <c r="J342" s="33"/>
      <c r="L342" s="33"/>
      <c r="M342" s="33"/>
      <c r="N342" s="33"/>
      <c r="O342" s="33"/>
    </row>
    <row r="343" spans="5:15" ht="16.5">
      <c r="E343" s="33"/>
      <c r="F343" s="34"/>
      <c r="G343" s="33"/>
      <c r="H343" s="33"/>
      <c r="I343" s="33"/>
      <c r="J343" s="33"/>
      <c r="L343" s="33"/>
      <c r="M343" s="33"/>
      <c r="N343" s="33"/>
      <c r="O343" s="33"/>
    </row>
    <row r="344" spans="5:15" ht="16.5">
      <c r="E344" s="33"/>
      <c r="F344" s="34"/>
      <c r="G344" s="33"/>
      <c r="H344" s="33"/>
      <c r="I344" s="33"/>
      <c r="J344" s="33"/>
      <c r="L344" s="33"/>
      <c r="M344" s="33"/>
      <c r="N344" s="33"/>
      <c r="O344" s="33"/>
    </row>
    <row r="345" spans="5:15" ht="16.5">
      <c r="E345" s="33"/>
      <c r="F345" s="34"/>
      <c r="G345" s="33"/>
      <c r="H345" s="33"/>
      <c r="I345" s="33"/>
      <c r="J345" s="33"/>
      <c r="L345" s="33"/>
      <c r="M345" s="33"/>
      <c r="N345" s="33"/>
      <c r="O345" s="33"/>
    </row>
    <row r="346" spans="5:15" ht="16.5">
      <c r="E346" s="33"/>
      <c r="F346" s="34"/>
      <c r="G346" s="33"/>
      <c r="H346" s="33"/>
      <c r="I346" s="33"/>
      <c r="J346" s="33"/>
      <c r="L346" s="33"/>
      <c r="M346" s="33"/>
      <c r="N346" s="33"/>
      <c r="O346" s="33"/>
    </row>
    <row r="347" spans="5:15" ht="16.5">
      <c r="E347" s="33"/>
      <c r="F347" s="34"/>
      <c r="G347" s="33"/>
      <c r="H347" s="33"/>
      <c r="I347" s="33"/>
      <c r="J347" s="33"/>
      <c r="L347" s="33"/>
      <c r="M347" s="33"/>
      <c r="N347" s="33"/>
      <c r="O347" s="33"/>
    </row>
    <row r="348" spans="5:15" ht="16.5">
      <c r="E348" s="33"/>
      <c r="F348" s="34"/>
      <c r="G348" s="33"/>
      <c r="H348" s="33"/>
      <c r="I348" s="33"/>
      <c r="J348" s="33"/>
      <c r="L348" s="33"/>
      <c r="M348" s="33"/>
      <c r="N348" s="33"/>
      <c r="O348" s="33"/>
    </row>
    <row r="349" spans="5:15" ht="16.5">
      <c r="E349" s="33"/>
      <c r="F349" s="34"/>
      <c r="G349" s="33"/>
      <c r="H349" s="33"/>
      <c r="I349" s="33"/>
      <c r="J349" s="33"/>
      <c r="L349" s="33"/>
      <c r="M349" s="33"/>
      <c r="N349" s="33"/>
      <c r="O349" s="33"/>
    </row>
    <row r="350" spans="5:15" ht="16.5">
      <c r="E350" s="33"/>
      <c r="F350" s="34"/>
      <c r="G350" s="33"/>
      <c r="H350" s="33"/>
      <c r="I350" s="33"/>
      <c r="J350" s="33"/>
      <c r="L350" s="33"/>
      <c r="M350" s="33"/>
      <c r="N350" s="33"/>
      <c r="O350" s="33"/>
    </row>
    <row r="351" spans="5:15" ht="16.5">
      <c r="E351" s="33"/>
      <c r="F351" s="34"/>
      <c r="G351" s="33"/>
      <c r="H351" s="33"/>
      <c r="I351" s="33"/>
      <c r="J351" s="33"/>
      <c r="L351" s="33"/>
      <c r="M351" s="33"/>
      <c r="N351" s="33"/>
      <c r="O351" s="33"/>
    </row>
    <row r="352" spans="5:15" ht="16.5">
      <c r="E352" s="33"/>
      <c r="F352" s="34"/>
      <c r="G352" s="33"/>
      <c r="H352" s="33"/>
      <c r="I352" s="33"/>
      <c r="J352" s="33"/>
      <c r="L352" s="33"/>
      <c r="M352" s="33"/>
      <c r="N352" s="33"/>
      <c r="O352" s="33"/>
    </row>
    <row r="353" spans="5:15" ht="16.5">
      <c r="E353" s="33"/>
      <c r="F353" s="34"/>
      <c r="G353" s="33"/>
      <c r="H353" s="33"/>
      <c r="I353" s="33"/>
      <c r="J353" s="33"/>
      <c r="L353" s="33"/>
      <c r="M353" s="33"/>
      <c r="N353" s="33"/>
      <c r="O353" s="33"/>
    </row>
    <row r="354" spans="5:15" ht="16.5">
      <c r="E354" s="33"/>
      <c r="F354" s="34"/>
      <c r="G354" s="33"/>
      <c r="H354" s="33"/>
      <c r="I354" s="33"/>
      <c r="J354" s="33"/>
      <c r="L354" s="33"/>
      <c r="M354" s="33"/>
      <c r="N354" s="33"/>
      <c r="O354" s="33"/>
    </row>
    <row r="355" spans="5:15" ht="16.5">
      <c r="E355" s="33"/>
      <c r="F355" s="34"/>
      <c r="G355" s="33"/>
      <c r="H355" s="33"/>
      <c r="I355" s="33"/>
      <c r="J355" s="33"/>
      <c r="L355" s="33"/>
      <c r="M355" s="33"/>
      <c r="N355" s="33"/>
      <c r="O355" s="33"/>
    </row>
    <row r="356" spans="5:15" ht="16.5">
      <c r="E356" s="33"/>
      <c r="F356" s="34"/>
      <c r="G356" s="33"/>
      <c r="H356" s="33"/>
      <c r="I356" s="33"/>
      <c r="J356" s="33"/>
      <c r="L356" s="33"/>
      <c r="M356" s="33"/>
      <c r="N356" s="33"/>
      <c r="O356" s="33"/>
    </row>
    <row r="357" spans="5:15" ht="16.5">
      <c r="E357" s="33"/>
      <c r="F357" s="34"/>
      <c r="G357" s="33"/>
      <c r="H357" s="33"/>
      <c r="I357" s="33"/>
      <c r="J357" s="33"/>
      <c r="L357" s="33"/>
      <c r="M357" s="33"/>
      <c r="N357" s="33"/>
      <c r="O357" s="33"/>
    </row>
    <row r="358" spans="5:15" ht="16.5">
      <c r="E358" s="33"/>
      <c r="F358" s="34"/>
      <c r="G358" s="33"/>
      <c r="H358" s="33"/>
      <c r="I358" s="33"/>
      <c r="J358" s="33"/>
      <c r="L358" s="33"/>
      <c r="M358" s="33"/>
      <c r="N358" s="33"/>
      <c r="O358" s="33"/>
    </row>
    <row r="359" spans="5:15" ht="16.5">
      <c r="E359" s="33"/>
      <c r="F359" s="34"/>
      <c r="G359" s="33"/>
      <c r="H359" s="33"/>
      <c r="I359" s="33"/>
      <c r="J359" s="33"/>
      <c r="L359" s="33"/>
      <c r="M359" s="33"/>
      <c r="N359" s="33"/>
      <c r="O359" s="33"/>
    </row>
    <row r="360" spans="5:15" ht="16.5">
      <c r="E360" s="33"/>
      <c r="F360" s="34"/>
      <c r="G360" s="33"/>
      <c r="H360" s="33"/>
      <c r="I360" s="33"/>
      <c r="J360" s="33"/>
      <c r="L360" s="33"/>
      <c r="M360" s="33"/>
      <c r="N360" s="33"/>
      <c r="O360" s="33"/>
    </row>
    <row r="361" spans="5:15" ht="16.5">
      <c r="E361" s="33"/>
      <c r="F361" s="34"/>
      <c r="G361" s="33"/>
      <c r="H361" s="33"/>
      <c r="I361" s="33"/>
      <c r="J361" s="33"/>
      <c r="L361" s="33"/>
      <c r="M361" s="33"/>
      <c r="N361" s="33"/>
      <c r="O361" s="33"/>
    </row>
    <row r="362" spans="5:15" ht="16.5">
      <c r="E362" s="33"/>
      <c r="F362" s="34"/>
      <c r="G362" s="33"/>
      <c r="H362" s="33"/>
      <c r="I362" s="33"/>
      <c r="J362" s="33"/>
      <c r="L362" s="33"/>
      <c r="M362" s="33"/>
      <c r="N362" s="33"/>
      <c r="O362" s="33"/>
    </row>
    <row r="363" spans="5:15" ht="16.5">
      <c r="E363" s="33"/>
      <c r="F363" s="34"/>
      <c r="G363" s="33"/>
      <c r="H363" s="33"/>
      <c r="I363" s="33"/>
      <c r="J363" s="33"/>
      <c r="L363" s="33"/>
      <c r="M363" s="33"/>
      <c r="N363" s="33"/>
      <c r="O363" s="33"/>
    </row>
    <row r="364" spans="5:15" ht="16.5">
      <c r="E364" s="33"/>
      <c r="F364" s="34"/>
      <c r="G364" s="33"/>
      <c r="H364" s="33"/>
      <c r="I364" s="33"/>
      <c r="J364" s="33"/>
      <c r="L364" s="33"/>
      <c r="M364" s="33"/>
      <c r="N364" s="33"/>
      <c r="O364" s="33"/>
    </row>
    <row r="365" spans="5:15" ht="16.5">
      <c r="E365" s="33"/>
      <c r="F365" s="34"/>
      <c r="G365" s="33"/>
      <c r="H365" s="33"/>
      <c r="I365" s="33"/>
      <c r="J365" s="33"/>
      <c r="L365" s="33"/>
      <c r="M365" s="33"/>
      <c r="N365" s="33"/>
      <c r="O365" s="33"/>
    </row>
    <row r="366" spans="5:15" ht="16.5">
      <c r="E366" s="33"/>
      <c r="F366" s="34"/>
      <c r="G366" s="33"/>
      <c r="H366" s="33"/>
      <c r="I366" s="33"/>
      <c r="J366" s="33"/>
      <c r="L366" s="33"/>
      <c r="M366" s="33"/>
      <c r="N366" s="33"/>
      <c r="O366" s="33"/>
    </row>
    <row r="367" spans="5:15" ht="16.5">
      <c r="E367" s="33"/>
      <c r="F367" s="34"/>
      <c r="G367" s="33"/>
      <c r="H367" s="33"/>
      <c r="I367" s="33"/>
      <c r="J367" s="33"/>
      <c r="L367" s="33"/>
      <c r="M367" s="33"/>
      <c r="N367" s="33"/>
      <c r="O367" s="33"/>
    </row>
    <row r="368" spans="5:15" ht="16.5">
      <c r="E368" s="33"/>
      <c r="F368" s="34"/>
      <c r="G368" s="33"/>
      <c r="H368" s="33"/>
      <c r="I368" s="33"/>
      <c r="J368" s="33"/>
      <c r="L368" s="33"/>
      <c r="M368" s="33"/>
      <c r="N368" s="33"/>
      <c r="O368" s="33"/>
    </row>
    <row r="369" spans="5:15" ht="16.5">
      <c r="E369" s="33"/>
      <c r="F369" s="34"/>
      <c r="G369" s="33"/>
      <c r="H369" s="33"/>
      <c r="I369" s="33"/>
      <c r="J369" s="33"/>
      <c r="L369" s="33"/>
      <c r="M369" s="33"/>
      <c r="N369" s="33"/>
      <c r="O369" s="33"/>
    </row>
    <row r="370" spans="5:15" ht="16.5">
      <c r="E370" s="33"/>
      <c r="F370" s="34"/>
      <c r="G370" s="33"/>
      <c r="H370" s="33"/>
      <c r="I370" s="33"/>
      <c r="J370" s="33"/>
      <c r="L370" s="33"/>
      <c r="M370" s="33"/>
      <c r="N370" s="33"/>
      <c r="O370" s="33"/>
    </row>
    <row r="371" spans="5:15" ht="16.5">
      <c r="E371" s="33"/>
      <c r="F371" s="34"/>
      <c r="G371" s="33"/>
      <c r="H371" s="33"/>
      <c r="I371" s="33"/>
      <c r="J371" s="33"/>
      <c r="L371" s="33"/>
      <c r="M371" s="33"/>
      <c r="N371" s="33"/>
      <c r="O371" s="33"/>
    </row>
    <row r="372" spans="5:15" ht="16.5">
      <c r="E372" s="33"/>
      <c r="F372" s="34"/>
      <c r="G372" s="33"/>
      <c r="H372" s="33"/>
      <c r="I372" s="33"/>
      <c r="J372" s="33"/>
      <c r="L372" s="33"/>
      <c r="M372" s="33"/>
      <c r="N372" s="33"/>
      <c r="O372" s="33"/>
    </row>
    <row r="373" spans="5:15" ht="16.5">
      <c r="E373" s="33"/>
      <c r="F373" s="34"/>
      <c r="G373" s="33"/>
      <c r="H373" s="33"/>
      <c r="I373" s="33"/>
      <c r="J373" s="33"/>
      <c r="L373" s="33"/>
      <c r="M373" s="33"/>
      <c r="N373" s="33"/>
      <c r="O373" s="33"/>
    </row>
    <row r="374" spans="5:15" ht="16.5">
      <c r="E374" s="33"/>
      <c r="F374" s="34"/>
      <c r="G374" s="33"/>
      <c r="H374" s="33"/>
      <c r="I374" s="33"/>
      <c r="J374" s="33"/>
      <c r="L374" s="33"/>
      <c r="M374" s="33"/>
      <c r="N374" s="33"/>
      <c r="O374" s="33"/>
    </row>
  </sheetData>
  <mergeCells count="34">
    <mergeCell ref="AD38:AH38"/>
    <mergeCell ref="A34:C34"/>
    <mergeCell ref="A35:C35"/>
    <mergeCell ref="A38:E38"/>
    <mergeCell ref="T38:X38"/>
    <mergeCell ref="Y38:AC38"/>
    <mergeCell ref="F38:J38"/>
    <mergeCell ref="T37:AC37"/>
    <mergeCell ref="K38:P38"/>
    <mergeCell ref="P34:Q34"/>
    <mergeCell ref="A30:C30"/>
    <mergeCell ref="P35:Q35"/>
    <mergeCell ref="A32:C32"/>
    <mergeCell ref="A33:C33"/>
    <mergeCell ref="A13:C13"/>
    <mergeCell ref="A14:C14"/>
    <mergeCell ref="A20:C20"/>
    <mergeCell ref="A21:C21"/>
    <mergeCell ref="A15:C15"/>
    <mergeCell ref="A17:C17"/>
    <mergeCell ref="A29:C29"/>
    <mergeCell ref="A26:C26"/>
    <mergeCell ref="A27:C27"/>
    <mergeCell ref="A25:C25"/>
    <mergeCell ref="A22:C22"/>
    <mergeCell ref="A23:C23"/>
    <mergeCell ref="A24:C24"/>
    <mergeCell ref="H19:J20"/>
    <mergeCell ref="A9:C9"/>
    <mergeCell ref="A10:C10"/>
    <mergeCell ref="A5:C5"/>
    <mergeCell ref="A6:C6"/>
    <mergeCell ref="A7:C7"/>
    <mergeCell ref="A8:C8"/>
  </mergeCells>
  <printOptions/>
  <pageMargins left="0.35433070866141736" right="0.35433070866141736" top="0.52" bottom="0.52" header="0.5118110236220472" footer="0.5118110236220472"/>
  <pageSetup horizontalDpi="600" verticalDpi="600" orientation="landscape" r:id="rId5"/>
  <drawing r:id="rId4"/>
  <legacyDrawing r:id="rId3"/>
  <oleObjects>
    <oleObject progId="Mathcad" shapeId="25995403" r:id="rId1"/>
    <oleObject progId="Equation.3" shapeId="2599540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CF374"/>
  <sheetViews>
    <sheetView workbookViewId="0" topLeftCell="Q89">
      <selection activeCell="Y102" sqref="Y40:AC102"/>
    </sheetView>
  </sheetViews>
  <sheetFormatPr defaultColWidth="9.140625" defaultRowHeight="12.75"/>
  <cols>
    <col min="1" max="1" width="5.7109375" style="2" customWidth="1"/>
    <col min="2" max="2" width="7.421875" style="2" customWidth="1"/>
    <col min="3" max="3" width="6.8515625" style="11" customWidth="1"/>
    <col min="4" max="4" width="6.7109375" style="5" customWidth="1"/>
    <col min="5" max="5" width="9.28125" style="3" customWidth="1"/>
    <col min="6" max="6" width="6.57421875" style="5" customWidth="1"/>
    <col min="7" max="7" width="8.140625" style="2" customWidth="1"/>
    <col min="8" max="8" width="7.00390625" style="2" customWidth="1"/>
    <col min="9" max="9" width="6.8515625" style="2" customWidth="1"/>
    <col min="10" max="10" width="8.28125" style="2" customWidth="1"/>
    <col min="11" max="11" width="6.7109375" style="11" customWidth="1"/>
    <col min="12" max="12" width="8.57421875" style="2" customWidth="1"/>
    <col min="13" max="13" width="7.28125" style="2" customWidth="1"/>
    <col min="14" max="14" width="7.8515625" style="2" customWidth="1"/>
    <col min="15" max="15" width="7.140625" style="2" customWidth="1"/>
    <col min="16" max="16" width="6.8515625" style="4" customWidth="1"/>
    <col min="17" max="17" width="8.28125" style="18" customWidth="1"/>
    <col min="18" max="18" width="7.57421875" style="30" customWidth="1"/>
    <col min="19" max="19" width="2.140625" style="30" customWidth="1"/>
    <col min="20" max="20" width="7.28125" style="30" customWidth="1"/>
    <col min="21" max="21" width="7.421875" style="30" customWidth="1"/>
    <col min="22" max="22" width="8.28125" style="30" customWidth="1"/>
    <col min="23" max="23" width="7.7109375" style="30" customWidth="1"/>
    <col min="24" max="27" width="8.00390625" style="30" bestFit="1" customWidth="1"/>
    <col min="28" max="28" width="7.7109375" style="30" customWidth="1"/>
    <col min="29" max="29" width="7.140625" style="0" customWidth="1"/>
    <col min="30" max="33" width="5.8515625" style="0" customWidth="1"/>
    <col min="34" max="75" width="8.7109375" style="0" customWidth="1"/>
    <col min="76" max="16384" width="8.7109375" style="2" customWidth="1"/>
  </cols>
  <sheetData>
    <row r="1" spans="1:16" ht="16.5">
      <c r="A1" s="5" t="s">
        <v>205</v>
      </c>
      <c r="C1" s="14"/>
      <c r="D1" s="1"/>
      <c r="E1" s="1"/>
      <c r="F1" s="1"/>
      <c r="G1" s="17"/>
      <c r="H1" s="5"/>
      <c r="I1" s="19"/>
      <c r="J1" s="163" t="s">
        <v>199</v>
      </c>
      <c r="K1" s="14">
        <f>E29</f>
        <v>1.0001988161646578</v>
      </c>
      <c r="L1" s="1" t="s">
        <v>200</v>
      </c>
      <c r="M1" s="164" t="s">
        <v>201</v>
      </c>
      <c r="N1" s="14">
        <f>E35</f>
        <v>4</v>
      </c>
      <c r="O1" s="1" t="s">
        <v>52</v>
      </c>
      <c r="P1" s="2"/>
    </row>
    <row r="2" spans="1:16" ht="21.75" customHeight="1">
      <c r="A2" s="5" t="s">
        <v>195</v>
      </c>
      <c r="C2" s="14"/>
      <c r="D2" s="1"/>
      <c r="E2" s="1"/>
      <c r="F2" s="1"/>
      <c r="G2" s="17"/>
      <c r="H2" s="5"/>
      <c r="I2" s="19"/>
      <c r="K2" s="123"/>
      <c r="L2" s="5"/>
      <c r="M2" s="5"/>
      <c r="P2" s="2"/>
    </row>
    <row r="3" spans="1:10" ht="16.5">
      <c r="A3" s="5" t="s">
        <v>198</v>
      </c>
      <c r="I3" s="10"/>
      <c r="J3" s="10" t="s">
        <v>111</v>
      </c>
    </row>
    <row r="4" spans="1:9" ht="15" customHeight="1">
      <c r="A4" s="5" t="s">
        <v>196</v>
      </c>
      <c r="H4" s="5"/>
      <c r="I4" s="10"/>
    </row>
    <row r="5" spans="1:10" ht="24" customHeight="1">
      <c r="A5" s="181" t="s">
        <v>0</v>
      </c>
      <c r="B5" s="182"/>
      <c r="C5" s="182"/>
      <c r="D5" s="5" t="s">
        <v>140</v>
      </c>
      <c r="E5" s="3">
        <f>0.00973/2</f>
        <v>0.004865</v>
      </c>
      <c r="F5" s="5" t="s">
        <v>7</v>
      </c>
      <c r="J5" s="10" t="s">
        <v>112</v>
      </c>
    </row>
    <row r="6" spans="1:12" ht="16.5">
      <c r="A6" s="181" t="s">
        <v>1</v>
      </c>
      <c r="B6" s="182"/>
      <c r="C6" s="182"/>
      <c r="D6" s="5" t="s">
        <v>3</v>
      </c>
      <c r="E6" s="3">
        <f>0.001166/2</f>
        <v>0.000583</v>
      </c>
      <c r="F6" s="5" t="s">
        <v>7</v>
      </c>
      <c r="H6" s="5"/>
      <c r="I6" s="10"/>
      <c r="L6" s="2" t="s">
        <v>16</v>
      </c>
    </row>
    <row r="7" spans="1:6" ht="16.5">
      <c r="A7" s="181" t="s">
        <v>2</v>
      </c>
      <c r="B7" s="182"/>
      <c r="C7" s="182"/>
      <c r="D7" s="5" t="s">
        <v>4</v>
      </c>
      <c r="E7" s="3">
        <v>0.074</v>
      </c>
      <c r="F7" s="5" t="s">
        <v>7</v>
      </c>
    </row>
    <row r="8" spans="1:10" ht="16.5" customHeight="1">
      <c r="A8" s="181" t="s">
        <v>5</v>
      </c>
      <c r="B8" s="182"/>
      <c r="C8" s="182"/>
      <c r="D8" s="5" t="s">
        <v>6</v>
      </c>
      <c r="E8" s="3">
        <v>0.0625</v>
      </c>
      <c r="F8" s="2" t="s">
        <v>8</v>
      </c>
      <c r="H8" s="48"/>
      <c r="I8" s="36"/>
      <c r="J8" s="10" t="s">
        <v>113</v>
      </c>
    </row>
    <row r="9" spans="1:9" ht="16.5">
      <c r="A9" s="181" t="s">
        <v>11</v>
      </c>
      <c r="B9" s="182"/>
      <c r="C9" s="182"/>
      <c r="D9" s="5" t="s">
        <v>12</v>
      </c>
      <c r="E9" s="3">
        <v>6.4E-05</v>
      </c>
      <c r="F9" s="2" t="s">
        <v>8</v>
      </c>
      <c r="H9" s="49"/>
      <c r="I9" s="36"/>
    </row>
    <row r="10" spans="1:8" ht="16.5">
      <c r="A10" s="181" t="s">
        <v>9</v>
      </c>
      <c r="B10" s="182"/>
      <c r="C10" s="182"/>
      <c r="D10" s="5" t="s">
        <v>10</v>
      </c>
      <c r="E10" s="18">
        <v>30</v>
      </c>
      <c r="H10" s="5" t="s">
        <v>114</v>
      </c>
    </row>
    <row r="11" spans="1:8" ht="18">
      <c r="A11" s="5" t="s">
        <v>191</v>
      </c>
      <c r="B11" s="6"/>
      <c r="C11" s="6"/>
      <c r="D11" s="5" t="s">
        <v>192</v>
      </c>
      <c r="E11" s="139">
        <v>0.324</v>
      </c>
      <c r="F11" s="5" t="s">
        <v>197</v>
      </c>
      <c r="H11" s="5"/>
    </row>
    <row r="12" spans="1:12" ht="18">
      <c r="A12" s="5" t="s">
        <v>193</v>
      </c>
      <c r="B12" s="6"/>
      <c r="C12" s="6"/>
      <c r="D12" s="5" t="s">
        <v>194</v>
      </c>
      <c r="E12" s="139">
        <v>0.2455</v>
      </c>
      <c r="H12" s="5" t="s">
        <v>135</v>
      </c>
      <c r="L12" s="8"/>
    </row>
    <row r="13" spans="1:8" ht="18">
      <c r="A13" s="181" t="s">
        <v>203</v>
      </c>
      <c r="B13" s="182"/>
      <c r="C13" s="182"/>
      <c r="D13" s="7" t="s">
        <v>204</v>
      </c>
      <c r="E13" s="3">
        <f>4*PI()*10^-7</f>
        <v>1.2566370614359173E-06</v>
      </c>
      <c r="F13" s="5" t="s">
        <v>14</v>
      </c>
      <c r="H13" s="22"/>
    </row>
    <row r="14" spans="1:8" ht="16.5">
      <c r="A14" s="181" t="s">
        <v>17</v>
      </c>
      <c r="B14" s="182"/>
      <c r="C14" s="182"/>
      <c r="D14" s="7" t="s">
        <v>58</v>
      </c>
      <c r="E14" s="4">
        <v>0.826</v>
      </c>
      <c r="H14" s="22"/>
    </row>
    <row r="15" spans="1:8" ht="16.5">
      <c r="A15" s="181" t="s">
        <v>18</v>
      </c>
      <c r="B15" s="182"/>
      <c r="C15" s="182"/>
      <c r="D15" s="7" t="s">
        <v>19</v>
      </c>
      <c r="E15" s="4">
        <v>0.872</v>
      </c>
      <c r="H15" s="5" t="s">
        <v>115</v>
      </c>
    </row>
    <row r="16" spans="1:5" ht="16.5">
      <c r="A16" s="5" t="s">
        <v>69</v>
      </c>
      <c r="B16" s="6"/>
      <c r="C16" s="6"/>
      <c r="D16" s="5" t="s">
        <v>70</v>
      </c>
      <c r="E16" s="4">
        <v>2.24</v>
      </c>
    </row>
    <row r="17" spans="1:8" ht="16.5">
      <c r="A17" s="181" t="s">
        <v>20</v>
      </c>
      <c r="B17" s="182"/>
      <c r="C17" s="182"/>
      <c r="D17" s="7" t="s">
        <v>59</v>
      </c>
      <c r="E17" s="4">
        <f>1/(1+E16)</f>
        <v>0.30864197530864196</v>
      </c>
      <c r="H17" s="5" t="s">
        <v>136</v>
      </c>
    </row>
    <row r="18" spans="1:75" ht="18.75">
      <c r="A18" s="5" t="s">
        <v>122</v>
      </c>
      <c r="B18" s="36"/>
      <c r="C18" s="36"/>
      <c r="D18" s="25" t="s">
        <v>124</v>
      </c>
      <c r="E18" s="3">
        <v>1.24E-10</v>
      </c>
      <c r="F18" s="5" t="s">
        <v>13</v>
      </c>
      <c r="L18" s="47"/>
      <c r="N18" s="4"/>
      <c r="P18" s="30"/>
      <c r="Q18" s="40"/>
      <c r="AA18"/>
      <c r="AB18"/>
      <c r="BV18" s="2"/>
      <c r="BW18" s="2"/>
    </row>
    <row r="19" spans="1:75" ht="18.75">
      <c r="A19" s="5" t="s">
        <v>123</v>
      </c>
      <c r="B19" s="36"/>
      <c r="C19" s="36"/>
      <c r="D19" s="25" t="s">
        <v>125</v>
      </c>
      <c r="E19" s="3">
        <v>9E-11</v>
      </c>
      <c r="F19" s="5" t="s">
        <v>121</v>
      </c>
      <c r="H19" s="183" t="s">
        <v>92</v>
      </c>
      <c r="I19" s="184"/>
      <c r="J19" s="185"/>
      <c r="L19" s="47"/>
      <c r="N19" s="4"/>
      <c r="P19" s="30"/>
      <c r="Q19" s="40"/>
      <c r="AA19"/>
      <c r="AB19"/>
      <c r="BV19" s="2"/>
      <c r="BW19" s="2"/>
    </row>
    <row r="20" spans="1:76" ht="18.75">
      <c r="A20" s="181" t="s">
        <v>45</v>
      </c>
      <c r="B20" s="182"/>
      <c r="C20" s="182"/>
      <c r="D20" s="9" t="s">
        <v>126</v>
      </c>
      <c r="E20" s="3">
        <v>0.004</v>
      </c>
      <c r="F20" s="2" t="s">
        <v>7</v>
      </c>
      <c r="H20" s="184"/>
      <c r="I20" s="184"/>
      <c r="J20" s="185"/>
      <c r="K20" s="32"/>
      <c r="L20" s="11"/>
      <c r="M20" s="5"/>
      <c r="O20" s="103" t="s">
        <v>160</v>
      </c>
      <c r="P20" s="103" t="s">
        <v>161</v>
      </c>
      <c r="Q20" s="104" t="s">
        <v>163</v>
      </c>
      <c r="R20" s="117" t="s">
        <v>169</v>
      </c>
      <c r="AC20" s="30"/>
      <c r="BX20"/>
    </row>
    <row r="21" spans="1:76" ht="18.75">
      <c r="A21" s="181" t="s">
        <v>34</v>
      </c>
      <c r="B21" s="182"/>
      <c r="C21" s="182"/>
      <c r="D21" s="9" t="s">
        <v>127</v>
      </c>
      <c r="E21" s="3">
        <v>6.02E-06</v>
      </c>
      <c r="F21" s="5" t="s">
        <v>7</v>
      </c>
      <c r="K21" s="2"/>
      <c r="L21" s="123"/>
      <c r="O21" s="105" t="s">
        <v>159</v>
      </c>
      <c r="P21" s="105" t="s">
        <v>159</v>
      </c>
      <c r="Q21" s="106" t="s">
        <v>164</v>
      </c>
      <c r="R21" s="118" t="s">
        <v>170</v>
      </c>
      <c r="AC21" s="30"/>
      <c r="BX21"/>
    </row>
    <row r="22" spans="1:78" ht="18.75">
      <c r="A22" s="181" t="s">
        <v>137</v>
      </c>
      <c r="B22" s="182"/>
      <c r="C22" s="182"/>
      <c r="D22" s="9" t="s">
        <v>60</v>
      </c>
      <c r="E22" s="3">
        <v>35000000000</v>
      </c>
      <c r="F22" s="5" t="s">
        <v>40</v>
      </c>
      <c r="G22" s="3"/>
      <c r="H22" s="5" t="s">
        <v>43</v>
      </c>
      <c r="K22" s="2"/>
      <c r="L22" s="11"/>
      <c r="O22" s="113" t="s">
        <v>162</v>
      </c>
      <c r="P22" s="113" t="s">
        <v>162</v>
      </c>
      <c r="Q22" s="114" t="s">
        <v>85</v>
      </c>
      <c r="R22" s="119" t="s">
        <v>171</v>
      </c>
      <c r="S22" s="2"/>
      <c r="T22" s="2"/>
      <c r="AC22" s="30"/>
      <c r="AD22" s="30"/>
      <c r="AE22" s="30"/>
      <c r="BX22"/>
      <c r="BY22"/>
      <c r="BZ22"/>
    </row>
    <row r="23" spans="1:78" ht="18.75">
      <c r="A23" s="181" t="s">
        <v>137</v>
      </c>
      <c r="B23" s="182"/>
      <c r="C23" s="182"/>
      <c r="D23" s="9" t="s">
        <v>61</v>
      </c>
      <c r="E23" s="4">
        <v>0.148519435587142</v>
      </c>
      <c r="F23" s="5" t="s">
        <v>21</v>
      </c>
      <c r="H23" s="2" t="s">
        <v>44</v>
      </c>
      <c r="I23" s="2" t="s">
        <v>62</v>
      </c>
      <c r="J23" s="2" t="s">
        <v>63</v>
      </c>
      <c r="K23" s="2"/>
      <c r="L23" s="11"/>
      <c r="M23" s="108"/>
      <c r="N23" s="109" t="s">
        <v>202</v>
      </c>
      <c r="O23" s="132">
        <f>K109*4*J28</f>
        <v>0.2061410034764147</v>
      </c>
      <c r="P23" s="105"/>
      <c r="Q23" s="106">
        <f aca="true" t="shared" si="0" ref="Q23:Q30">O23*2*E$34</f>
        <v>0.1030909938200523</v>
      </c>
      <c r="R23" s="115">
        <f aca="true" t="shared" si="1" ref="R23:R28">Q23/Q$30</f>
        <v>0.0037240129374551192</v>
      </c>
      <c r="S23" s="2"/>
      <c r="T23" s="2"/>
      <c r="AC23" s="30"/>
      <c r="AD23" s="30"/>
      <c r="AE23" s="30"/>
      <c r="BX23"/>
      <c r="BY23"/>
      <c r="BZ23"/>
    </row>
    <row r="24" spans="1:77" ht="18.75">
      <c r="A24" s="181" t="s">
        <v>137</v>
      </c>
      <c r="B24" s="182"/>
      <c r="C24" s="182"/>
      <c r="D24" s="9" t="s">
        <v>64</v>
      </c>
      <c r="E24" s="3">
        <v>5000000000</v>
      </c>
      <c r="F24" s="5" t="s">
        <v>40</v>
      </c>
      <c r="H24" s="2">
        <v>1</v>
      </c>
      <c r="I24" s="15">
        <v>0</v>
      </c>
      <c r="J24" s="15">
        <v>15.673373548625944</v>
      </c>
      <c r="K24" s="15"/>
      <c r="L24" s="11"/>
      <c r="M24" s="78"/>
      <c r="N24" s="110" t="s">
        <v>168</v>
      </c>
      <c r="O24" s="132">
        <f>L109*4*J28</f>
        <v>10.690973985439912</v>
      </c>
      <c r="P24" s="105"/>
      <c r="Q24" s="106">
        <f t="shared" si="0"/>
        <v>5.346549761942077</v>
      </c>
      <c r="R24" s="115">
        <f t="shared" si="1"/>
        <v>0.19313637153381535</v>
      </c>
      <c r="S24" s="2"/>
      <c r="T24" s="2"/>
      <c r="AC24" s="30"/>
      <c r="AD24" s="30"/>
      <c r="AE24" s="30"/>
      <c r="BX24"/>
      <c r="BY24"/>
    </row>
    <row r="25" spans="1:77" ht="18.75">
      <c r="A25" s="181" t="s">
        <v>137</v>
      </c>
      <c r="B25" s="182"/>
      <c r="C25" s="182"/>
      <c r="D25" s="9" t="s">
        <v>65</v>
      </c>
      <c r="E25" s="3">
        <v>-700000000</v>
      </c>
      <c r="F25" s="5" t="s">
        <v>47</v>
      </c>
      <c r="H25" s="2">
        <v>2</v>
      </c>
      <c r="I25" s="15">
        <v>17.081863443783423</v>
      </c>
      <c r="J25" s="15">
        <v>36.23820889210402</v>
      </c>
      <c r="K25" s="15"/>
      <c r="L25" s="11"/>
      <c r="M25" s="78"/>
      <c r="N25" s="111" t="s">
        <v>165</v>
      </c>
      <c r="O25" s="132">
        <f>M109*4*J28</f>
        <v>0.1558415301125444</v>
      </c>
      <c r="P25" s="107"/>
      <c r="Q25" s="106">
        <f t="shared" si="0"/>
        <v>0.07793625696392789</v>
      </c>
      <c r="R25" s="115">
        <f t="shared" si="1"/>
        <v>0.002815334477588868</v>
      </c>
      <c r="S25" s="2"/>
      <c r="T25"/>
      <c r="AC25" s="30"/>
      <c r="AD25" s="30"/>
      <c r="AE25" s="30"/>
      <c r="BX25"/>
      <c r="BY25"/>
    </row>
    <row r="26" spans="1:77" ht="18.75">
      <c r="A26" s="181" t="s">
        <v>39</v>
      </c>
      <c r="B26" s="182"/>
      <c r="C26" s="182"/>
      <c r="D26" s="9" t="s">
        <v>138</v>
      </c>
      <c r="E26" s="3">
        <v>32000000000</v>
      </c>
      <c r="F26" s="5" t="s">
        <v>40</v>
      </c>
      <c r="H26" s="2">
        <v>3</v>
      </c>
      <c r="I26" s="15">
        <v>41.284249216564326</v>
      </c>
      <c r="J26" s="15">
        <v>55.21613681534294</v>
      </c>
      <c r="K26" s="15"/>
      <c r="L26" s="11"/>
      <c r="M26" s="112"/>
      <c r="N26" s="110" t="s">
        <v>166</v>
      </c>
      <c r="O26" s="132">
        <f>N109*4*J28</f>
        <v>15.646772959867281</v>
      </c>
      <c r="P26" s="105"/>
      <c r="Q26" s="106">
        <f t="shared" si="0"/>
        <v>7.824941895628217</v>
      </c>
      <c r="R26" s="115">
        <f t="shared" si="1"/>
        <v>0.2826647001290814</v>
      </c>
      <c r="S26" s="2"/>
      <c r="T26"/>
      <c r="AC26" s="30"/>
      <c r="AD26" s="30"/>
      <c r="AE26" s="30"/>
      <c r="BX26"/>
      <c r="BY26"/>
    </row>
    <row r="27" spans="1:77" ht="18.75">
      <c r="A27" s="181" t="s">
        <v>39</v>
      </c>
      <c r="B27" s="182"/>
      <c r="C27" s="182"/>
      <c r="D27" s="9" t="s">
        <v>139</v>
      </c>
      <c r="E27" s="2">
        <v>0.5</v>
      </c>
      <c r="F27" s="5" t="s">
        <v>21</v>
      </c>
      <c r="H27" s="2">
        <v>4</v>
      </c>
      <c r="I27" s="15">
        <v>66.20526072708387</v>
      </c>
      <c r="J27" s="15">
        <v>73.17120452647318</v>
      </c>
      <c r="K27" s="15"/>
      <c r="L27" s="11"/>
      <c r="M27" s="129"/>
      <c r="N27" s="50" t="s">
        <v>167</v>
      </c>
      <c r="O27" s="133">
        <f>O109*4*J28</f>
        <v>28.629835048261313</v>
      </c>
      <c r="P27" s="130"/>
      <c r="Q27" s="104">
        <f t="shared" si="0"/>
        <v>14.317763561130196</v>
      </c>
      <c r="R27" s="131">
        <f t="shared" si="1"/>
        <v>0.5172084850607107</v>
      </c>
      <c r="S27" s="12"/>
      <c r="T27"/>
      <c r="AC27" s="30"/>
      <c r="AD27" s="30"/>
      <c r="AE27" s="30"/>
      <c r="BX27"/>
      <c r="BY27"/>
    </row>
    <row r="28" spans="1:76" ht="16.5">
      <c r="A28" s="5" t="s">
        <v>93</v>
      </c>
      <c r="B28" s="6"/>
      <c r="C28" s="6"/>
      <c r="D28" s="5" t="s">
        <v>87</v>
      </c>
      <c r="E28" s="18">
        <v>1492</v>
      </c>
      <c r="F28" s="5" t="s">
        <v>91</v>
      </c>
      <c r="I28" s="10" t="s">
        <v>50</v>
      </c>
      <c r="J28" s="15">
        <f>245*2.54*12/100/32/2</f>
        <v>1.1668124999999998</v>
      </c>
      <c r="K28" s="123" t="s">
        <v>49</v>
      </c>
      <c r="L28" s="123"/>
      <c r="M28" s="112"/>
      <c r="N28" s="110" t="s">
        <v>177</v>
      </c>
      <c r="O28" s="132">
        <f>P109*4*J28</f>
        <v>0.024970201522983283</v>
      </c>
      <c r="P28" s="125"/>
      <c r="Q28" s="106">
        <f t="shared" si="0"/>
        <v>0.012487583001340407</v>
      </c>
      <c r="R28" s="115">
        <f t="shared" si="1"/>
        <v>0.00045109586134856717</v>
      </c>
      <c r="S28" s="12"/>
      <c r="T28"/>
      <c r="AC28" s="30"/>
      <c r="AD28" s="30"/>
      <c r="AE28" s="30"/>
      <c r="BX28"/>
    </row>
    <row r="29" spans="1:76" ht="16.5">
      <c r="A29" s="181" t="s">
        <v>94</v>
      </c>
      <c r="B29" s="182"/>
      <c r="C29" s="182"/>
      <c r="D29" s="5" t="s">
        <v>88</v>
      </c>
      <c r="E29" s="4">
        <f>P34*E28+P35*E28^P36</f>
        <v>1.0001988161646578</v>
      </c>
      <c r="F29" s="5" t="s">
        <v>21</v>
      </c>
      <c r="H29" s="5"/>
      <c r="I29" s="10" t="s">
        <v>54</v>
      </c>
      <c r="J29" s="3">
        <v>7.888866402398716E-06</v>
      </c>
      <c r="K29" s="123" t="s">
        <v>35</v>
      </c>
      <c r="L29" s="123"/>
      <c r="M29" s="126"/>
      <c r="N29" s="107" t="s">
        <v>178</v>
      </c>
      <c r="O29" s="132">
        <f>O27+O28</f>
        <v>28.654805249784296</v>
      </c>
      <c r="P29" s="107"/>
      <c r="Q29" s="114">
        <f t="shared" si="0"/>
        <v>14.330251144131537</v>
      </c>
      <c r="R29" s="115">
        <f>Q29/Q30</f>
        <v>0.5176595809220592</v>
      </c>
      <c r="S29" s="12"/>
      <c r="T29"/>
      <c r="AC29" s="30"/>
      <c r="AD29" s="30"/>
      <c r="AE29" s="30"/>
      <c r="BX29"/>
    </row>
    <row r="30" spans="1:76" ht="16.5">
      <c r="A30" s="181" t="s">
        <v>22</v>
      </c>
      <c r="B30" s="182"/>
      <c r="C30" s="182"/>
      <c r="D30" s="5" t="s">
        <v>48</v>
      </c>
      <c r="E30" s="13">
        <v>2.1215</v>
      </c>
      <c r="F30" s="5" t="s">
        <v>21</v>
      </c>
      <c r="H30" s="10"/>
      <c r="I30" s="10" t="s">
        <v>55</v>
      </c>
      <c r="K30" s="123" t="s">
        <v>15</v>
      </c>
      <c r="L30" s="123"/>
      <c r="M30" s="127"/>
      <c r="N30" s="128" t="s">
        <v>179</v>
      </c>
      <c r="O30" s="134">
        <f>SUM(O23:O26)+O29</f>
        <v>55.35453472868045</v>
      </c>
      <c r="P30" s="128"/>
      <c r="Q30" s="135">
        <f t="shared" si="0"/>
        <v>27.68277005248581</v>
      </c>
      <c r="R30" s="136">
        <f>SUM(R23:R26)+R29</f>
        <v>1</v>
      </c>
      <c r="S30" s="4"/>
      <c r="T30"/>
      <c r="AC30" s="30"/>
      <c r="AD30" s="30"/>
      <c r="AE30" s="30"/>
      <c r="BX30"/>
    </row>
    <row r="31" spans="1:76" ht="16.5">
      <c r="A31" s="5" t="s">
        <v>95</v>
      </c>
      <c r="B31" s="6"/>
      <c r="C31" s="6"/>
      <c r="D31" s="5" t="s">
        <v>89</v>
      </c>
      <c r="E31" s="18">
        <v>1</v>
      </c>
      <c r="F31" s="5" t="s">
        <v>91</v>
      </c>
      <c r="H31" s="10"/>
      <c r="I31" s="10" t="s">
        <v>67</v>
      </c>
      <c r="J31" s="15"/>
      <c r="L31" s="15"/>
      <c r="M31" s="5"/>
      <c r="O31" s="10"/>
      <c r="P31" s="16"/>
      <c r="R31" s="4"/>
      <c r="S31"/>
      <c r="AC31" s="30"/>
      <c r="AD31" s="30"/>
      <c r="BX31"/>
    </row>
    <row r="32" spans="1:76" ht="16.5">
      <c r="A32" s="181" t="s">
        <v>96</v>
      </c>
      <c r="B32" s="182"/>
      <c r="C32" s="182"/>
      <c r="D32" s="5" t="s">
        <v>84</v>
      </c>
      <c r="E32" s="15">
        <v>0</v>
      </c>
      <c r="F32" s="5" t="s">
        <v>21</v>
      </c>
      <c r="I32" s="10"/>
      <c r="J32" s="27"/>
      <c r="K32" s="38"/>
      <c r="L32" s="27"/>
      <c r="M32" s="5"/>
      <c r="O32" s="10"/>
      <c r="P32" s="16"/>
      <c r="R32" s="2"/>
      <c r="S32" s="4"/>
      <c r="AC32" s="30"/>
      <c r="AD32" s="30"/>
      <c r="BX32"/>
    </row>
    <row r="33" spans="1:83" ht="18">
      <c r="A33" s="181" t="s">
        <v>66</v>
      </c>
      <c r="B33" s="182"/>
      <c r="C33" s="182"/>
      <c r="D33" s="5" t="s">
        <v>146</v>
      </c>
      <c r="E33" s="15">
        <f>E32/E29</f>
        <v>0</v>
      </c>
      <c r="H33" s="5" t="s">
        <v>129</v>
      </c>
      <c r="I33" s="6"/>
      <c r="J33" s="20"/>
      <c r="K33" s="5" t="s">
        <v>132</v>
      </c>
      <c r="L33" s="15">
        <v>1</v>
      </c>
      <c r="M33" s="5"/>
      <c r="O33" s="10" t="s">
        <v>172</v>
      </c>
      <c r="P33" s="10"/>
      <c r="Q33" s="27"/>
      <c r="R33" s="38"/>
      <c r="S33" s="27"/>
      <c r="T33" s="5"/>
      <c r="U33" s="2"/>
      <c r="V33" s="10"/>
      <c r="W33" s="16"/>
      <c r="X33" s="18"/>
      <c r="Y33" s="3"/>
      <c r="Z33"/>
      <c r="AC33" s="30"/>
      <c r="AD33" s="30"/>
      <c r="AE33" s="30"/>
      <c r="AF33" s="30"/>
      <c r="AG33" s="30"/>
      <c r="AH33" s="30"/>
      <c r="AI33" s="30"/>
      <c r="AJ33" s="30"/>
      <c r="AK33" s="30"/>
      <c r="BX33"/>
      <c r="BY33"/>
      <c r="BZ33"/>
      <c r="CA33"/>
      <c r="CB33"/>
      <c r="CC33"/>
      <c r="CD33"/>
      <c r="CE33"/>
    </row>
    <row r="34" spans="1:84" ht="18">
      <c r="A34" s="181" t="s">
        <v>23</v>
      </c>
      <c r="B34" s="182"/>
      <c r="C34" s="182"/>
      <c r="D34" s="5" t="s">
        <v>56</v>
      </c>
      <c r="E34" s="4">
        <f>(E29-E32)/E35</f>
        <v>0.25004970404116444</v>
      </c>
      <c r="F34" s="5" t="s">
        <v>15</v>
      </c>
      <c r="H34" s="5" t="s">
        <v>128</v>
      </c>
      <c r="I34" s="6"/>
      <c r="J34" s="20"/>
      <c r="K34" s="5" t="s">
        <v>133</v>
      </c>
      <c r="L34" s="15">
        <v>2</v>
      </c>
      <c r="M34" s="5"/>
      <c r="O34" s="10" t="s">
        <v>188</v>
      </c>
      <c r="P34" s="202">
        <v>0.0009023255298815842</v>
      </c>
      <c r="Q34" s="203"/>
      <c r="R34" s="38"/>
      <c r="S34" s="27"/>
      <c r="T34" s="5"/>
      <c r="U34" s="2"/>
      <c r="V34" s="10"/>
      <c r="W34" s="29"/>
      <c r="X34" s="18"/>
      <c r="Y34" s="3"/>
      <c r="Z34"/>
      <c r="AC34" s="30"/>
      <c r="AD34" s="30"/>
      <c r="AE34" s="30"/>
      <c r="AF34" s="30"/>
      <c r="AG34" s="30"/>
      <c r="AH34" s="30"/>
      <c r="AI34" s="30"/>
      <c r="AJ34" s="30"/>
      <c r="AK34" s="30"/>
      <c r="BX34"/>
      <c r="BY34"/>
      <c r="BZ34"/>
      <c r="CA34"/>
      <c r="CB34"/>
      <c r="CC34"/>
      <c r="CD34"/>
      <c r="CE34"/>
      <c r="CF34"/>
    </row>
    <row r="35" spans="1:82" ht="18">
      <c r="A35" s="181" t="s">
        <v>51</v>
      </c>
      <c r="B35" s="182"/>
      <c r="C35" s="182"/>
      <c r="D35" s="5" t="s">
        <v>53</v>
      </c>
      <c r="E35" s="15">
        <v>4</v>
      </c>
      <c r="F35" s="5" t="s">
        <v>52</v>
      </c>
      <c r="H35" s="5" t="s">
        <v>130</v>
      </c>
      <c r="I35" s="6"/>
      <c r="J35" s="20"/>
      <c r="K35" s="5" t="s">
        <v>134</v>
      </c>
      <c r="L35" s="15">
        <v>1</v>
      </c>
      <c r="M35" s="5"/>
      <c r="O35" s="10" t="s">
        <v>189</v>
      </c>
      <c r="P35" s="186">
        <v>-5.378266220120102E-05</v>
      </c>
      <c r="Q35" s="187"/>
      <c r="R35" s="38"/>
      <c r="S35" s="5"/>
      <c r="T35" s="2"/>
      <c r="U35" s="10"/>
      <c r="V35" s="29"/>
      <c r="W35" s="16"/>
      <c r="X35" s="18"/>
      <c r="Y35"/>
      <c r="AC35" s="30"/>
      <c r="AD35" s="30"/>
      <c r="AE35" s="30"/>
      <c r="AF35" s="30"/>
      <c r="AG35" s="30"/>
      <c r="AH35" s="30"/>
      <c r="AI35" s="30"/>
      <c r="AJ35" s="30"/>
      <c r="BX35"/>
      <c r="BY35"/>
      <c r="BZ35"/>
      <c r="CA35"/>
      <c r="CB35"/>
      <c r="CC35"/>
      <c r="CD35"/>
    </row>
    <row r="36" spans="3:81" ht="16.5">
      <c r="C36" s="2"/>
      <c r="D36" s="2"/>
      <c r="E36" s="2"/>
      <c r="F36" s="2"/>
      <c r="H36" s="5" t="s">
        <v>131</v>
      </c>
      <c r="I36" s="6"/>
      <c r="J36" s="20"/>
      <c r="K36" s="5" t="s">
        <v>68</v>
      </c>
      <c r="L36" s="15">
        <v>1</v>
      </c>
      <c r="M36" s="5"/>
      <c r="O36" s="10" t="s">
        <v>90</v>
      </c>
      <c r="P36" s="27">
        <v>1.2000000525728414</v>
      </c>
      <c r="Q36" s="10"/>
      <c r="R36" s="38"/>
      <c r="S36" s="5"/>
      <c r="T36" s="2"/>
      <c r="U36" s="10"/>
      <c r="V36" s="29"/>
      <c r="W36" s="16"/>
      <c r="X36" s="18"/>
      <c r="Y36"/>
      <c r="AC36" s="30"/>
      <c r="AD36" s="30"/>
      <c r="AE36" s="30"/>
      <c r="AF36" s="30"/>
      <c r="AG36" s="30"/>
      <c r="AH36" s="30"/>
      <c r="AI36" s="30"/>
      <c r="AJ36" s="30"/>
      <c r="BX36"/>
      <c r="BY36"/>
      <c r="BZ36"/>
      <c r="CA36"/>
      <c r="CB36"/>
      <c r="CC36"/>
    </row>
    <row r="37" spans="16:77" ht="15.75" customHeight="1">
      <c r="P37" s="2"/>
      <c r="Q37" s="120" t="s">
        <v>144</v>
      </c>
      <c r="R37" s="56" t="s">
        <v>157</v>
      </c>
      <c r="S37" s="4"/>
      <c r="T37" s="194" t="s">
        <v>71</v>
      </c>
      <c r="U37" s="201"/>
      <c r="V37" s="201"/>
      <c r="W37" s="201"/>
      <c r="X37" s="201"/>
      <c r="Y37" s="201"/>
      <c r="Z37" s="201"/>
      <c r="AA37" s="201"/>
      <c r="AB37" s="201"/>
      <c r="AC37" s="190"/>
      <c r="AD37" s="30"/>
      <c r="BX37"/>
      <c r="BY37"/>
    </row>
    <row r="38" spans="1:77" ht="18">
      <c r="A38" s="191" t="s">
        <v>46</v>
      </c>
      <c r="B38" s="192"/>
      <c r="C38" s="192"/>
      <c r="D38" s="192"/>
      <c r="E38" s="193"/>
      <c r="F38" s="198" t="s">
        <v>141</v>
      </c>
      <c r="G38" s="199"/>
      <c r="H38" s="199"/>
      <c r="I38" s="199"/>
      <c r="J38" s="200"/>
      <c r="K38" s="191" t="s">
        <v>143</v>
      </c>
      <c r="L38" s="192"/>
      <c r="M38" s="192"/>
      <c r="N38" s="192"/>
      <c r="O38" s="192"/>
      <c r="P38" s="200"/>
      <c r="Q38" s="121" t="s">
        <v>176</v>
      </c>
      <c r="R38" s="57" t="s">
        <v>173</v>
      </c>
      <c r="S38" s="4"/>
      <c r="T38" s="194" t="s">
        <v>72</v>
      </c>
      <c r="U38" s="195"/>
      <c r="V38" s="195"/>
      <c r="W38" s="195"/>
      <c r="X38" s="196"/>
      <c r="Y38" s="194" t="s">
        <v>73</v>
      </c>
      <c r="Z38" s="195"/>
      <c r="AA38" s="195"/>
      <c r="AB38" s="195"/>
      <c r="AC38" s="197"/>
      <c r="AD38" s="188" t="s">
        <v>142</v>
      </c>
      <c r="AE38" s="189"/>
      <c r="AF38" s="189"/>
      <c r="AG38" s="189"/>
      <c r="AH38" s="190"/>
      <c r="BX38"/>
      <c r="BY38"/>
    </row>
    <row r="39" spans="1:76" ht="16.5">
      <c r="A39" s="51" t="s">
        <v>24</v>
      </c>
      <c r="B39" s="52" t="s">
        <v>25</v>
      </c>
      <c r="C39" s="53" t="s">
        <v>26</v>
      </c>
      <c r="D39" s="54" t="s">
        <v>27</v>
      </c>
      <c r="E39" s="55" t="s">
        <v>29</v>
      </c>
      <c r="F39" s="45" t="s">
        <v>28</v>
      </c>
      <c r="G39" s="54" t="s">
        <v>36</v>
      </c>
      <c r="H39" s="54" t="s">
        <v>37</v>
      </c>
      <c r="I39" s="46" t="s">
        <v>38</v>
      </c>
      <c r="J39" s="55" t="s">
        <v>29</v>
      </c>
      <c r="K39" s="89" t="s">
        <v>30</v>
      </c>
      <c r="L39" s="52" t="s">
        <v>31</v>
      </c>
      <c r="M39" s="52" t="s">
        <v>32</v>
      </c>
      <c r="N39" s="52" t="s">
        <v>33</v>
      </c>
      <c r="O39" s="52" t="s">
        <v>174</v>
      </c>
      <c r="P39" s="116" t="s">
        <v>175</v>
      </c>
      <c r="Q39" s="122" t="s">
        <v>41</v>
      </c>
      <c r="R39" s="58" t="s">
        <v>42</v>
      </c>
      <c r="S39"/>
      <c r="T39" s="59" t="s">
        <v>74</v>
      </c>
      <c r="U39" s="60" t="s">
        <v>75</v>
      </c>
      <c r="V39" s="60" t="s">
        <v>76</v>
      </c>
      <c r="W39" s="60" t="s">
        <v>77</v>
      </c>
      <c r="X39" s="61" t="s">
        <v>78</v>
      </c>
      <c r="Y39" s="59" t="s">
        <v>79</v>
      </c>
      <c r="Z39" s="60" t="s">
        <v>80</v>
      </c>
      <c r="AA39" s="60" t="s">
        <v>81</v>
      </c>
      <c r="AB39" s="60" t="s">
        <v>82</v>
      </c>
      <c r="AC39" s="61" t="s">
        <v>83</v>
      </c>
      <c r="AD39" s="59" t="s">
        <v>116</v>
      </c>
      <c r="AE39" s="62" t="s">
        <v>117</v>
      </c>
      <c r="AF39" s="62" t="s">
        <v>118</v>
      </c>
      <c r="AG39" s="62" t="s">
        <v>119</v>
      </c>
      <c r="AH39" s="63" t="s">
        <v>120</v>
      </c>
      <c r="BX39"/>
    </row>
    <row r="40" spans="1:76" ht="16.5">
      <c r="A40" s="18">
        <v>0</v>
      </c>
      <c r="B40" s="4">
        <v>-0.8219977069090909</v>
      </c>
      <c r="C40" s="11">
        <v>244.26680129999903</v>
      </c>
      <c r="D40" s="4">
        <v>-7.829455454545454E-06</v>
      </c>
      <c r="E40" s="4">
        <f aca="true" t="shared" si="2" ref="E40:E56">SQRT(B40^2+D40^2)</f>
        <v>0.8219977069463784</v>
      </c>
      <c r="F40" s="82">
        <f aca="true" t="shared" si="3" ref="F40:F56">-B40*$E$29*(1-$E$33)/$E$30/$E$34</f>
        <v>1.54984248297731</v>
      </c>
      <c r="G40" s="85">
        <f aca="true" t="shared" si="4" ref="G40:G56">C40*$E$29*(1-$E$33)/$E$30/$E$34</f>
        <v>460.5548928588244</v>
      </c>
      <c r="H40" s="87">
        <f aca="true" t="shared" si="5" ref="H40:H56">-D40*$E$29*(1-$E$33)/$E$30/$E$34</f>
        <v>1.4762112570436868E-05</v>
      </c>
      <c r="I40" s="87">
        <f aca="true" t="shared" si="6" ref="I40:I56">E40*$E$29*(1-$E$33)/$E$30/$E$34</f>
        <v>1.549842483047614</v>
      </c>
      <c r="J40" s="56">
        <f aca="true" t="shared" si="7" ref="J40:J56">E40*E$29/E$30</f>
        <v>0.38753765419647934</v>
      </c>
      <c r="K40" s="11">
        <f aca="true" t="shared" si="8" ref="K40:K56">L$33*E$14/120*F40^2/E$8*E$7*E$10*(E$10-1)*E$5/E$6</f>
        <v>142.12129908890222</v>
      </c>
      <c r="L40" s="11">
        <f aca="true" t="shared" si="9" ref="L40:L56">L$34*E$14/6*F40^2/E$9*E$7*E$5/E$6*(1+(G40*E$5/F40)^2/15)</f>
        <v>7270.288089568925</v>
      </c>
      <c r="M40" s="15">
        <f aca="true" t="shared" si="10" ref="M40:M56">L$35*E$14/8*H40^2/E$9*E$7*E$6/E$5</f>
        <v>3.1176297838509306E-09</v>
      </c>
      <c r="N40" s="11">
        <f aca="true" t="shared" si="11" ref="N40:N56">E$14*E$15*(E$12/E$11)^2*J40*(1-E$33)/E$34^2*(E$20/2/PI())^2/E$19*LN((E$18+E$19*J40)/(E$18+E$19*E$33*J40))</f>
        <v>2860.8198617490716</v>
      </c>
      <c r="O40" s="11">
        <f aca="true" t="shared" si="12" ref="O40:O56">(Y40+Z40+AA40+AB40+AC40)/5</f>
        <v>9196.166211643704</v>
      </c>
      <c r="P40" s="11">
        <f aca="true" t="shared" si="13" ref="P40:P56">(AD40+AE40+AF40+AG40+AH40)/5</f>
        <v>6.522905564468052</v>
      </c>
      <c r="Q40" s="120">
        <f aca="true" t="shared" si="14" ref="Q40:Q56">SUM(K40:P40)</f>
        <v>19475.918367618186</v>
      </c>
      <c r="R40" s="90">
        <f aca="true" t="shared" si="15" ref="R40:R55">Q40*J$29</f>
        <v>0.15364291806616315</v>
      </c>
      <c r="S40" s="28"/>
      <c r="T40" s="92">
        <f aca="true" t="shared" si="16" ref="T40:T56">SQRT(($B40-$C40*0.8*$E$5)^2+$D40^2)*$E$29/$E$30</f>
        <v>0.8357466584206502</v>
      </c>
      <c r="U40" s="93">
        <f aca="true" t="shared" si="17" ref="U40:U56">SQRT(($B40-$C40*0.4*$E$5)^2+$D40^2)*$E$29/$E$30</f>
        <v>0.6116421563068375</v>
      </c>
      <c r="V40" s="93">
        <f aca="true" t="shared" si="18" ref="V40:V56">SQRT(($B40)^2+$D40^2)*$E$29/$E$30</f>
        <v>0.38753765419647934</v>
      </c>
      <c r="W40" s="93">
        <f aca="true" t="shared" si="19" ref="W40:W56">SQRT(($B40+$C40*0.4*$E$5)^2+$D40^2)*$E$29/$E$30</f>
        <v>0.16343315210378548</v>
      </c>
      <c r="X40" s="94">
        <f aca="true" t="shared" si="20" ref="X40:X56">SQRT(($B40+$C40*0.8*$E$5)^2+$D40^2)*$E$29/$E$30</f>
        <v>0.060671350166987534</v>
      </c>
      <c r="Y40" s="165">
        <f aca="true" t="shared" si="21" ref="Y40:Y56">$L$36*$E$14*$E$15*$E$17/$E$34*2/3*$E$21/PI()*($E$22*$E$23*LN((T40+$E$23)/($E$33*T40+$E$23))+$E$24*T40*(1-$E$33)+$E$25*T40^2/2*(1-$E$33^2))</f>
        <v>15633.479252235478</v>
      </c>
      <c r="Z40" s="165">
        <f aca="true" t="shared" si="22" ref="Z40:Z56">$L$36*$E$14*$E$15*$E$17/$E$34*2/3*$E$21/PI()*($E$22*$E$23*LN((U40+$E$23)/($E$33*U40+$E$23))+$E$24*U40*(1-$E$33)+$E$25*U40^2/2*(1-$E$33^2))</f>
        <v>12964.453721763302</v>
      </c>
      <c r="AA40" s="165">
        <f aca="true" t="shared" si="23" ref="AA40:AA56">$L$36*$E$14*$E$15*$E$17/$E$34*2/3*$E$21/PI()*($E$22*$E$23*LN((V40+$E$23)/($E$33*V40+$E$23))+$E$24*V40*(1-$E$33)+$E$25*V40^2/2*(1-$E$33^2))</f>
        <v>9718.696002393002</v>
      </c>
      <c r="AB40" s="165">
        <f aca="true" t="shared" si="24" ref="AB40:AB56">$L$36*$E$14*$E$15*$E$17/$E$34*2/3*$E$21/PI()*($E$22*$E$23*LN((W40+$E$23)/($E$33*W40+$E$23))+$E$24*W40*(1-$E$33)+$E$25*W40^2/2*(1-$E$33^2))</f>
        <v>5298.894879999469</v>
      </c>
      <c r="AC40" s="165">
        <f aca="true" t="shared" si="25" ref="AC40:AC56">$L$36*$E$14*$E$15*$E$17/$E$34*2/3*$E$21/PI()*($E$22*$E$23*LN((X40+$E$23)/($E$33*X40+$E$23))+$E$24*X40*(1-$E$33)+$E$25*X40^2/2*(1-$E$33^2))</f>
        <v>2365.3072018272737</v>
      </c>
      <c r="AD40" s="69">
        <f aca="true" t="shared" si="26" ref="AD40:AD56">1/9/PI()*$E$21/$E$34*$E$28^2*T40*(3*T40+4*$E$27)/($E$26*$E$27*$E$14*$E$15*$E$17*16*$E$5^2*$E$6^2)</f>
        <v>15.595756820241524</v>
      </c>
      <c r="AE40" s="70">
        <f aca="true" t="shared" si="27" ref="AE40:AE56">1/9/PI()*$E$21/$E$34*$E$28^2*U40*(3*U40+4*$E$27)/($E$26*$E$27*$E$14*$E$15*$E$17*16*$E$5^2*$E$6^2)</f>
        <v>9.711259881341876</v>
      </c>
      <c r="AF40" s="70">
        <f aca="true" t="shared" si="28" ref="AF40:AF56">1/9/PI()*$E$21/$E$34*$E$28^2*V40*(3*V40+4*$E$27)/($E$26*$E$27*$E$14*$E$15*$E$17*16*$E$5^2*$E$6^2)</f>
        <v>5.074357689461907</v>
      </c>
      <c r="AG40" s="70">
        <f aca="true" t="shared" si="29" ref="AG40:AG56">1/9/PI()*$E$21/$E$34*$E$28^2*W40*(3*W40+4*$E$27)/($E$26*$E$27*$E$14*$E$15*$E$17*16*$E$5^2*$E$6^2)</f>
        <v>1.685050244719269</v>
      </c>
      <c r="AH40" s="71">
        <f aca="true" t="shared" si="30" ref="AH40:AH56">1/9/PI()*$E$21/$E$34*$E$28^2*X40*(3*X40+4*$E$27)/($E$26*$E$27*$E$14*$E$15*$E$17*16*$E$5^2*$E$6^2)</f>
        <v>0.5481031865756819</v>
      </c>
      <c r="AI40" s="28"/>
      <c r="BX40"/>
    </row>
    <row r="41" spans="1:76" ht="16.5">
      <c r="A41" s="18">
        <v>1</v>
      </c>
      <c r="B41" s="4">
        <v>-0.8217296287421121</v>
      </c>
      <c r="C41" s="11">
        <v>246.64712192512508</v>
      </c>
      <c r="D41" s="4">
        <v>-0.004352904612639874</v>
      </c>
      <c r="E41" s="4">
        <f t="shared" si="2"/>
        <v>0.8217411578661593</v>
      </c>
      <c r="F41" s="83">
        <f t="shared" si="3"/>
        <v>1.5493370327449674</v>
      </c>
      <c r="G41" s="86">
        <f t="shared" si="4"/>
        <v>465.04288838109835</v>
      </c>
      <c r="H41" s="88">
        <f t="shared" si="5"/>
        <v>0.008207220575328538</v>
      </c>
      <c r="I41" s="88">
        <f t="shared" si="6"/>
        <v>1.5493587704287708</v>
      </c>
      <c r="J41" s="57">
        <f t="shared" si="7"/>
        <v>0.38741670199929656</v>
      </c>
      <c r="K41" s="11">
        <f t="shared" si="8"/>
        <v>142.02861414753843</v>
      </c>
      <c r="L41" s="11">
        <f t="shared" si="9"/>
        <v>7283.539604131452</v>
      </c>
      <c r="M41" s="15">
        <f t="shared" si="10"/>
        <v>0.0009636508912010048</v>
      </c>
      <c r="N41" s="11">
        <f t="shared" si="11"/>
        <v>2859.1363829789525</v>
      </c>
      <c r="O41" s="11">
        <f t="shared" si="12"/>
        <v>9229.536185864843</v>
      </c>
      <c r="P41" s="11">
        <f t="shared" si="13"/>
        <v>6.560107370363843</v>
      </c>
      <c r="Q41" s="121">
        <f t="shared" si="14"/>
        <v>19520.80185814404</v>
      </c>
      <c r="R41" s="90">
        <f t="shared" si="15"/>
        <v>0.15399699792659496</v>
      </c>
      <c r="S41" s="28"/>
      <c r="T41" s="79">
        <f t="shared" si="16"/>
        <v>0.8399904654931648</v>
      </c>
      <c r="U41" s="80">
        <f t="shared" si="17"/>
        <v>0.6137030438267453</v>
      </c>
      <c r="V41" s="80">
        <f t="shared" si="18"/>
        <v>0.38741670199929656</v>
      </c>
      <c r="W41" s="80">
        <f t="shared" si="19"/>
        <v>0.1611359893904002</v>
      </c>
      <c r="X41" s="81">
        <f t="shared" si="20"/>
        <v>0.06519773208207663</v>
      </c>
      <c r="Y41" s="165">
        <f t="shared" si="21"/>
        <v>15680.152141851951</v>
      </c>
      <c r="Z41" s="165">
        <f t="shared" si="22"/>
        <v>12991.137341880025</v>
      </c>
      <c r="AA41" s="165">
        <f t="shared" si="23"/>
        <v>9716.714164784455</v>
      </c>
      <c r="AB41" s="165">
        <f t="shared" si="24"/>
        <v>5242.510908980001</v>
      </c>
      <c r="AC41" s="165">
        <f t="shared" si="25"/>
        <v>2517.166371827777</v>
      </c>
      <c r="AD41" s="72">
        <f t="shared" si="26"/>
        <v>15.719226344166877</v>
      </c>
      <c r="AE41" s="73">
        <f t="shared" si="27"/>
        <v>9.759690556612124</v>
      </c>
      <c r="AF41" s="73">
        <f t="shared" si="28"/>
        <v>5.072191944822464</v>
      </c>
      <c r="AG41" s="73">
        <f t="shared" si="29"/>
        <v>1.656768179463538</v>
      </c>
      <c r="AH41" s="74">
        <f t="shared" si="30"/>
        <v>0.592659826754216</v>
      </c>
      <c r="AI41" s="28"/>
      <c r="BX41"/>
    </row>
    <row r="42" spans="1:76" ht="16.5">
      <c r="A42" s="18">
        <v>2</v>
      </c>
      <c r="B42" s="4">
        <v>-0.821585611225844</v>
      </c>
      <c r="C42" s="11">
        <v>247.8761242952973</v>
      </c>
      <c r="D42" s="4">
        <v>-0.04666387906774721</v>
      </c>
      <c r="E42" s="4">
        <f t="shared" si="2"/>
        <v>0.8229097363520455</v>
      </c>
      <c r="F42" s="83">
        <f t="shared" si="3"/>
        <v>1.5490654937088737</v>
      </c>
      <c r="G42" s="86">
        <f t="shared" si="4"/>
        <v>467.3601212261085</v>
      </c>
      <c r="H42" s="88">
        <f t="shared" si="5"/>
        <v>0.08798280286164922</v>
      </c>
      <c r="I42" s="88">
        <f t="shared" si="6"/>
        <v>1.5515620765534677</v>
      </c>
      <c r="J42" s="57">
        <f t="shared" si="7"/>
        <v>0.3879676380436891</v>
      </c>
      <c r="K42" s="11">
        <f t="shared" si="8"/>
        <v>141.9788342319041</v>
      </c>
      <c r="L42" s="11">
        <f t="shared" si="9"/>
        <v>7290.361269135478</v>
      </c>
      <c r="M42" s="15">
        <f t="shared" si="10"/>
        <v>0.11074473863799894</v>
      </c>
      <c r="N42" s="11">
        <f t="shared" si="11"/>
        <v>2866.808169621682</v>
      </c>
      <c r="O42" s="11">
        <f t="shared" si="12"/>
        <v>9280.031010881683</v>
      </c>
      <c r="P42" s="11">
        <f t="shared" si="13"/>
        <v>6.595603564166241</v>
      </c>
      <c r="Q42" s="121">
        <f t="shared" si="14"/>
        <v>19585.88563217355</v>
      </c>
      <c r="R42" s="90">
        <f t="shared" si="15"/>
        <v>0.15451043512487767</v>
      </c>
      <c r="S42" s="28"/>
      <c r="T42" s="79">
        <f t="shared" si="16"/>
        <v>0.8424624802016542</v>
      </c>
      <c r="U42" s="80">
        <f t="shared" si="17"/>
        <v>0.6151527988966707</v>
      </c>
      <c r="V42" s="80">
        <f t="shared" si="18"/>
        <v>0.3879676380436891</v>
      </c>
      <c r="W42" s="80">
        <f t="shared" si="19"/>
        <v>0.1614335686401551</v>
      </c>
      <c r="X42" s="81">
        <f t="shared" si="20"/>
        <v>0.07098374979175193</v>
      </c>
      <c r="Y42" s="165">
        <f t="shared" si="21"/>
        <v>15707.28225623708</v>
      </c>
      <c r="Z42" s="165">
        <f t="shared" si="22"/>
        <v>13009.880345354759</v>
      </c>
      <c r="AA42" s="165">
        <f t="shared" si="23"/>
        <v>9725.738888460392</v>
      </c>
      <c r="AB42" s="165">
        <f t="shared" si="24"/>
        <v>5249.833459340787</v>
      </c>
      <c r="AC42" s="165">
        <f t="shared" si="25"/>
        <v>2707.4201050154024</v>
      </c>
      <c r="AD42" s="72">
        <f t="shared" si="26"/>
        <v>15.791353459019936</v>
      </c>
      <c r="AE42" s="73">
        <f t="shared" si="27"/>
        <v>9.793822888622024</v>
      </c>
      <c r="AF42" s="73">
        <f t="shared" si="28"/>
        <v>5.082059832280841</v>
      </c>
      <c r="AG42" s="73">
        <f t="shared" si="29"/>
        <v>1.6604245065101777</v>
      </c>
      <c r="AH42" s="74">
        <f t="shared" si="30"/>
        <v>0.650357134398226</v>
      </c>
      <c r="AI42" s="28"/>
      <c r="BX42"/>
    </row>
    <row r="43" spans="1:76" ht="16.5">
      <c r="A43" s="18">
        <v>3</v>
      </c>
      <c r="B43" s="4">
        <v>-0.8208176406045933</v>
      </c>
      <c r="C43" s="11">
        <v>248.61971105177216</v>
      </c>
      <c r="D43" s="4">
        <v>-0.08816510333209439</v>
      </c>
      <c r="E43" s="4">
        <f t="shared" si="2"/>
        <v>0.8255390266809015</v>
      </c>
      <c r="F43" s="83">
        <f t="shared" si="3"/>
        <v>1.5476175170484907</v>
      </c>
      <c r="G43" s="86">
        <f t="shared" si="4"/>
        <v>468.762123123775</v>
      </c>
      <c r="H43" s="88">
        <f t="shared" si="5"/>
        <v>0.16623163484722014</v>
      </c>
      <c r="I43" s="88">
        <f t="shared" si="6"/>
        <v>1.5565194940955012</v>
      </c>
      <c r="J43" s="57">
        <f t="shared" si="7"/>
        <v>0.38920723883288305</v>
      </c>
      <c r="K43" s="11">
        <f t="shared" si="8"/>
        <v>141.71353111078693</v>
      </c>
      <c r="L43" s="11">
        <f t="shared" si="9"/>
        <v>7283.950802700388</v>
      </c>
      <c r="M43" s="15">
        <f t="shared" si="10"/>
        <v>0.395325535951867</v>
      </c>
      <c r="N43" s="11">
        <f t="shared" si="11"/>
        <v>2884.1029343887194</v>
      </c>
      <c r="O43" s="11">
        <f t="shared" si="12"/>
        <v>9367.335721710366</v>
      </c>
      <c r="P43" s="11">
        <f t="shared" si="13"/>
        <v>6.643207237739922</v>
      </c>
      <c r="Q43" s="121">
        <f t="shared" si="14"/>
        <v>19684.14152268395</v>
      </c>
      <c r="R43" s="90">
        <f t="shared" si="15"/>
        <v>0.1552855627183629</v>
      </c>
      <c r="S43" s="28"/>
      <c r="T43" s="79">
        <f t="shared" si="16"/>
        <v>0.8442014523169424</v>
      </c>
      <c r="U43" s="80">
        <f t="shared" si="17"/>
        <v>0.6164823063600798</v>
      </c>
      <c r="V43" s="80">
        <f t="shared" si="18"/>
        <v>0.38920723883288305</v>
      </c>
      <c r="W43" s="80">
        <f t="shared" si="19"/>
        <v>0.16423036932508922</v>
      </c>
      <c r="X43" s="81">
        <f t="shared" si="20"/>
        <v>0.08073693331591458</v>
      </c>
      <c r="Y43" s="165">
        <f t="shared" si="21"/>
        <v>15726.342368262076</v>
      </c>
      <c r="Z43" s="165">
        <f t="shared" si="22"/>
        <v>13027.048566816053</v>
      </c>
      <c r="AA43" s="165">
        <f t="shared" si="23"/>
        <v>9746.020802885148</v>
      </c>
      <c r="AB43" s="165">
        <f t="shared" si="24"/>
        <v>5318.386563709381</v>
      </c>
      <c r="AC43" s="165">
        <f t="shared" si="25"/>
        <v>3018.880306879167</v>
      </c>
      <c r="AD43" s="72">
        <f t="shared" si="26"/>
        <v>15.842183204962135</v>
      </c>
      <c r="AE43" s="73">
        <f t="shared" si="27"/>
        <v>9.825170063877728</v>
      </c>
      <c r="AF43" s="73">
        <f t="shared" si="28"/>
        <v>5.104290052082824</v>
      </c>
      <c r="AG43" s="73">
        <f t="shared" si="29"/>
        <v>1.6948960144794851</v>
      </c>
      <c r="AH43" s="74">
        <f t="shared" si="30"/>
        <v>0.7494968532974406</v>
      </c>
      <c r="AI43" s="28"/>
      <c r="BX43"/>
    </row>
    <row r="44" spans="1:76" ht="16.5">
      <c r="A44" s="18">
        <v>4</v>
      </c>
      <c r="B44" s="4">
        <v>-0.8198187393907777</v>
      </c>
      <c r="C44" s="11">
        <v>249.01848455721432</v>
      </c>
      <c r="D44" s="4">
        <v>-0.12932473383011736</v>
      </c>
      <c r="E44" s="4">
        <f t="shared" si="2"/>
        <v>0.8299564158656251</v>
      </c>
      <c r="F44" s="83">
        <f t="shared" si="3"/>
        <v>1.54573413036206</v>
      </c>
      <c r="G44" s="86">
        <f t="shared" si="4"/>
        <v>469.5139939801354</v>
      </c>
      <c r="H44" s="88">
        <f t="shared" si="5"/>
        <v>0.24383640599597897</v>
      </c>
      <c r="I44" s="88">
        <f t="shared" si="6"/>
        <v>1.5648482976490692</v>
      </c>
      <c r="J44" s="57">
        <f t="shared" si="7"/>
        <v>0.39128985369646974</v>
      </c>
      <c r="K44" s="11">
        <f t="shared" si="8"/>
        <v>141.36882194219902</v>
      </c>
      <c r="L44" s="11">
        <f t="shared" si="9"/>
        <v>7271.43070789385</v>
      </c>
      <c r="M44" s="15">
        <f t="shared" si="10"/>
        <v>0.8505985012562295</v>
      </c>
      <c r="N44" s="11">
        <f t="shared" si="11"/>
        <v>2913.26308647995</v>
      </c>
      <c r="O44" s="11">
        <f t="shared" si="12"/>
        <v>9482.423792909594</v>
      </c>
      <c r="P44" s="11">
        <f t="shared" si="13"/>
        <v>6.704982132496291</v>
      </c>
      <c r="Q44" s="121">
        <f t="shared" si="14"/>
        <v>19816.041989859343</v>
      </c>
      <c r="R44" s="90">
        <f t="shared" si="15"/>
        <v>0.15632610788232357</v>
      </c>
      <c r="S44" s="28"/>
      <c r="T44" s="79">
        <f t="shared" si="16"/>
        <v>0.8456392040484979</v>
      </c>
      <c r="U44" s="80">
        <f t="shared" si="17"/>
        <v>0.6179894176272545</v>
      </c>
      <c r="V44" s="80">
        <f t="shared" si="18"/>
        <v>0.39128985369646974</v>
      </c>
      <c r="W44" s="80">
        <f t="shared" si="19"/>
        <v>0.1693993841292567</v>
      </c>
      <c r="X44" s="81">
        <f t="shared" si="20"/>
        <v>0.09314572191986854</v>
      </c>
      <c r="Y44" s="165">
        <f t="shared" si="21"/>
        <v>15742.085436403897</v>
      </c>
      <c r="Z44" s="165">
        <f t="shared" si="22"/>
        <v>13046.486965348777</v>
      </c>
      <c r="AA44" s="165">
        <f t="shared" si="23"/>
        <v>9780.022507470541</v>
      </c>
      <c r="AB44" s="165">
        <f t="shared" si="24"/>
        <v>5443.832769777546</v>
      </c>
      <c r="AC44" s="165">
        <f t="shared" si="25"/>
        <v>3399.6912855472065</v>
      </c>
      <c r="AD44" s="72">
        <f t="shared" si="26"/>
        <v>15.884265079011799</v>
      </c>
      <c r="AE44" s="73">
        <f t="shared" si="27"/>
        <v>9.860757887352264</v>
      </c>
      <c r="AF44" s="73">
        <f t="shared" si="28"/>
        <v>5.141724292127142</v>
      </c>
      <c r="AG44" s="73">
        <f t="shared" si="29"/>
        <v>1.7591172815324434</v>
      </c>
      <c r="AH44" s="74">
        <f t="shared" si="30"/>
        <v>0.8790461224577996</v>
      </c>
      <c r="AI44" s="28"/>
      <c r="BX44"/>
    </row>
    <row r="45" spans="1:76" ht="16.5">
      <c r="A45" s="18">
        <v>5</v>
      </c>
      <c r="B45" s="4">
        <v>-0.8183791186552796</v>
      </c>
      <c r="C45" s="11">
        <v>249.07833636928586</v>
      </c>
      <c r="D45" s="4">
        <v>-0.17029335958175434</v>
      </c>
      <c r="E45" s="4">
        <f t="shared" si="2"/>
        <v>0.8359092116782976</v>
      </c>
      <c r="F45" s="83">
        <f t="shared" si="3"/>
        <v>1.5430197853505152</v>
      </c>
      <c r="G45" s="86">
        <f t="shared" si="4"/>
        <v>469.62684208208503</v>
      </c>
      <c r="H45" s="88">
        <f t="shared" si="5"/>
        <v>0.32108104564082834</v>
      </c>
      <c r="I45" s="88">
        <f t="shared" si="6"/>
        <v>1.5760720465299034</v>
      </c>
      <c r="J45" s="57">
        <f t="shared" si="7"/>
        <v>0.3940963487823547</v>
      </c>
      <c r="K45" s="11">
        <f t="shared" si="8"/>
        <v>140.87276400418182</v>
      </c>
      <c r="L45" s="11">
        <f t="shared" si="9"/>
        <v>7249.602238300269</v>
      </c>
      <c r="M45" s="15">
        <f t="shared" si="10"/>
        <v>1.4748805673728378</v>
      </c>
      <c r="N45" s="11">
        <f t="shared" si="11"/>
        <v>2952.7642123585774</v>
      </c>
      <c r="O45" s="11">
        <f t="shared" si="12"/>
        <v>9615.565007096846</v>
      </c>
      <c r="P45" s="11">
        <f t="shared" si="13"/>
        <v>6.777400674484009</v>
      </c>
      <c r="Q45" s="121">
        <f t="shared" si="14"/>
        <v>19967.056503001728</v>
      </c>
      <c r="R45" s="90">
        <f t="shared" si="15"/>
        <v>0.15751744120132713</v>
      </c>
      <c r="S45" s="28"/>
      <c r="T45" s="79">
        <f t="shared" si="16"/>
        <v>0.8466845419030645</v>
      </c>
      <c r="U45" s="80">
        <f t="shared" si="17"/>
        <v>0.6195744047113552</v>
      </c>
      <c r="V45" s="80">
        <f t="shared" si="18"/>
        <v>0.3940963487823547</v>
      </c>
      <c r="W45" s="80">
        <f t="shared" si="19"/>
        <v>0.17661591363198872</v>
      </c>
      <c r="X45" s="81">
        <f t="shared" si="20"/>
        <v>0.10731351008547972</v>
      </c>
      <c r="Y45" s="165">
        <f t="shared" si="21"/>
        <v>15753.522871796535</v>
      </c>
      <c r="Z45" s="165">
        <f t="shared" si="22"/>
        <v>13066.903219626682</v>
      </c>
      <c r="AA45" s="165">
        <f t="shared" si="23"/>
        <v>9825.698273576356</v>
      </c>
      <c r="AB45" s="165">
        <f t="shared" si="24"/>
        <v>5616.33457933637</v>
      </c>
      <c r="AC45" s="165">
        <f t="shared" si="25"/>
        <v>3815.3660911482903</v>
      </c>
      <c r="AD45" s="72">
        <f t="shared" si="26"/>
        <v>15.914893544067077</v>
      </c>
      <c r="AE45" s="73">
        <f t="shared" si="27"/>
        <v>9.898245485962976</v>
      </c>
      <c r="AF45" s="73">
        <f t="shared" si="28"/>
        <v>5.192340440507456</v>
      </c>
      <c r="AG45" s="73">
        <f t="shared" si="29"/>
        <v>1.849887597251702</v>
      </c>
      <c r="AH45" s="74">
        <f t="shared" si="30"/>
        <v>1.0316363046308337</v>
      </c>
      <c r="AI45" s="28"/>
      <c r="BX45"/>
    </row>
    <row r="46" spans="1:76" ht="16.5">
      <c r="A46" s="18">
        <v>6</v>
      </c>
      <c r="B46" s="4">
        <v>-0.8165897522528507</v>
      </c>
      <c r="C46" s="11">
        <v>248.9262978938888</v>
      </c>
      <c r="D46" s="4">
        <v>-0.21129872517543874</v>
      </c>
      <c r="E46" s="4">
        <f t="shared" si="2"/>
        <v>0.8434844247199457</v>
      </c>
      <c r="F46" s="83">
        <f t="shared" si="3"/>
        <v>1.5396460094326667</v>
      </c>
      <c r="G46" s="86">
        <f t="shared" si="4"/>
        <v>469.34017986120915</v>
      </c>
      <c r="H46" s="88">
        <f t="shared" si="5"/>
        <v>0.3983949567295569</v>
      </c>
      <c r="I46" s="88">
        <f t="shared" si="6"/>
        <v>1.5903547956067792</v>
      </c>
      <c r="J46" s="57">
        <f t="shared" si="7"/>
        <v>0.3976677459619217</v>
      </c>
      <c r="K46" s="11">
        <f t="shared" si="8"/>
        <v>140.25740760175515</v>
      </c>
      <c r="L46" s="11">
        <f t="shared" si="9"/>
        <v>7220.844801251269</v>
      </c>
      <c r="M46" s="15">
        <f t="shared" si="10"/>
        <v>2.270676055795909</v>
      </c>
      <c r="N46" s="11">
        <f t="shared" si="11"/>
        <v>3003.3714813655115</v>
      </c>
      <c r="O46" s="11">
        <f t="shared" si="12"/>
        <v>9762.65293831957</v>
      </c>
      <c r="P46" s="11">
        <f t="shared" si="13"/>
        <v>6.861939635291705</v>
      </c>
      <c r="Q46" s="121">
        <f t="shared" si="14"/>
        <v>20136.259244229193</v>
      </c>
      <c r="R46" s="90">
        <f t="shared" si="15"/>
        <v>0.15885225902179026</v>
      </c>
      <c r="S46" s="28"/>
      <c r="T46" s="79">
        <f t="shared" si="16"/>
        <v>0.8476211167710366</v>
      </c>
      <c r="U46" s="80">
        <f t="shared" si="17"/>
        <v>0.6214044168551573</v>
      </c>
      <c r="V46" s="80">
        <f t="shared" si="18"/>
        <v>0.3976677459619217</v>
      </c>
      <c r="W46" s="80">
        <f t="shared" si="19"/>
        <v>0.18560743053604092</v>
      </c>
      <c r="X46" s="81">
        <f t="shared" si="20"/>
        <v>0.1227798662744238</v>
      </c>
      <c r="Y46" s="165">
        <f t="shared" si="21"/>
        <v>15763.764019810998</v>
      </c>
      <c r="Z46" s="165">
        <f t="shared" si="22"/>
        <v>13090.441900262435</v>
      </c>
      <c r="AA46" s="165">
        <f t="shared" si="23"/>
        <v>9883.585626761382</v>
      </c>
      <c r="AB46" s="165">
        <f t="shared" si="24"/>
        <v>5827.151285675392</v>
      </c>
      <c r="AC46" s="165">
        <f t="shared" si="25"/>
        <v>4248.321859087642</v>
      </c>
      <c r="AD46" s="72">
        <f t="shared" si="26"/>
        <v>15.942358301983907</v>
      </c>
      <c r="AE46" s="73">
        <f t="shared" si="27"/>
        <v>9.94160595991285</v>
      </c>
      <c r="AF46" s="73">
        <f t="shared" si="28"/>
        <v>5.257034789415793</v>
      </c>
      <c r="AG46" s="73">
        <f t="shared" si="29"/>
        <v>1.964794017519925</v>
      </c>
      <c r="AH46" s="74">
        <f t="shared" si="30"/>
        <v>1.2039051076260499</v>
      </c>
      <c r="AI46" s="28"/>
      <c r="BX46"/>
    </row>
    <row r="47" spans="1:76" ht="16.5">
      <c r="A47" s="18">
        <v>7</v>
      </c>
      <c r="B47" s="4">
        <v>-0.814521089821648</v>
      </c>
      <c r="C47" s="11">
        <v>248.45779899296454</v>
      </c>
      <c r="D47" s="4">
        <v>-0.25243209734431343</v>
      </c>
      <c r="E47" s="4">
        <f t="shared" si="2"/>
        <v>0.8527406226596068</v>
      </c>
      <c r="F47" s="83">
        <f t="shared" si="3"/>
        <v>1.5357456324707006</v>
      </c>
      <c r="G47" s="86">
        <f t="shared" si="4"/>
        <v>468.456844672099</v>
      </c>
      <c r="H47" s="88">
        <f t="shared" si="5"/>
        <v>0.47595021889099864</v>
      </c>
      <c r="I47" s="88">
        <f t="shared" si="6"/>
        <v>1.6078069717833736</v>
      </c>
      <c r="J47" s="57">
        <f t="shared" si="7"/>
        <v>0.4020316574497534</v>
      </c>
      <c r="K47" s="11">
        <f t="shared" si="8"/>
        <v>139.54768104119412</v>
      </c>
      <c r="L47" s="11">
        <f t="shared" si="9"/>
        <v>7185.506055445277</v>
      </c>
      <c r="M47" s="15">
        <f t="shared" si="10"/>
        <v>3.240787671198781</v>
      </c>
      <c r="N47" s="11">
        <f t="shared" si="11"/>
        <v>3065.7245464324883</v>
      </c>
      <c r="O47" s="11">
        <f t="shared" si="12"/>
        <v>9919.101906755788</v>
      </c>
      <c r="P47" s="11">
        <f t="shared" si="13"/>
        <v>6.956687413426825</v>
      </c>
      <c r="Q47" s="121">
        <f t="shared" si="14"/>
        <v>20320.07766475937</v>
      </c>
      <c r="R47" s="90">
        <f t="shared" si="15"/>
        <v>0.16030237798365277</v>
      </c>
      <c r="S47" s="28"/>
      <c r="T47" s="79">
        <f t="shared" si="16"/>
        <v>0.8483016106211583</v>
      </c>
      <c r="U47" s="80">
        <f t="shared" si="17"/>
        <v>0.6234272479250111</v>
      </c>
      <c r="V47" s="80">
        <f t="shared" si="18"/>
        <v>0.4020316574497534</v>
      </c>
      <c r="W47" s="80">
        <f t="shared" si="19"/>
        <v>0.1962635549249501</v>
      </c>
      <c r="X47" s="81">
        <f t="shared" si="20"/>
        <v>0.13903712329914766</v>
      </c>
      <c r="Y47" s="165">
        <f t="shared" si="21"/>
        <v>15771.201291928764</v>
      </c>
      <c r="Z47" s="165">
        <f t="shared" si="22"/>
        <v>13116.41882805439</v>
      </c>
      <c r="AA47" s="165">
        <f t="shared" si="23"/>
        <v>9953.96242900306</v>
      </c>
      <c r="AB47" s="165">
        <f t="shared" si="24"/>
        <v>6071.393502606843</v>
      </c>
      <c r="AC47" s="165">
        <f t="shared" si="25"/>
        <v>4682.53348218588</v>
      </c>
      <c r="AD47" s="72">
        <f t="shared" si="26"/>
        <v>15.962327233790887</v>
      </c>
      <c r="AE47" s="73">
        <f t="shared" si="27"/>
        <v>9.98963190478707</v>
      </c>
      <c r="AF47" s="73">
        <f t="shared" si="28"/>
        <v>5.3365153122906595</v>
      </c>
      <c r="AG47" s="73">
        <f t="shared" si="29"/>
        <v>2.1035736364983197</v>
      </c>
      <c r="AH47" s="74">
        <f t="shared" si="30"/>
        <v>1.3913889797671921</v>
      </c>
      <c r="AI47" s="28"/>
      <c r="BX47"/>
    </row>
    <row r="48" spans="1:76" ht="16.5">
      <c r="A48" s="18">
        <v>8</v>
      </c>
      <c r="B48" s="4">
        <v>-0.811908099555227</v>
      </c>
      <c r="C48" s="11">
        <v>247.71187929577997</v>
      </c>
      <c r="D48" s="4">
        <v>-0.2939766016246563</v>
      </c>
      <c r="E48" s="4">
        <f t="shared" si="2"/>
        <v>0.863491172176162</v>
      </c>
      <c r="F48" s="83">
        <f t="shared" si="3"/>
        <v>1.5308189480183398</v>
      </c>
      <c r="G48" s="86">
        <f t="shared" si="4"/>
        <v>467.0504441117699</v>
      </c>
      <c r="H48" s="88">
        <f t="shared" si="5"/>
        <v>0.5542806535463705</v>
      </c>
      <c r="I48" s="88">
        <f t="shared" si="6"/>
        <v>1.6280766856962752</v>
      </c>
      <c r="J48" s="57">
        <f t="shared" si="7"/>
        <v>0.4071000934146735</v>
      </c>
      <c r="K48" s="11">
        <f t="shared" si="8"/>
        <v>138.65377698391845</v>
      </c>
      <c r="L48" s="11">
        <f t="shared" si="9"/>
        <v>7139.8551506844</v>
      </c>
      <c r="M48" s="15">
        <f t="shared" si="10"/>
        <v>4.395284150134914</v>
      </c>
      <c r="N48" s="11">
        <f t="shared" si="11"/>
        <v>3138.853620112453</v>
      </c>
      <c r="O48" s="11">
        <f t="shared" si="12"/>
        <v>10082.527372785991</v>
      </c>
      <c r="P48" s="11">
        <f t="shared" si="13"/>
        <v>7.060692679802536</v>
      </c>
      <c r="Q48" s="121">
        <f t="shared" si="14"/>
        <v>20511.345897396703</v>
      </c>
      <c r="R48" s="90">
        <f t="shared" si="15"/>
        <v>0.16181126751795158</v>
      </c>
      <c r="S48" s="28"/>
      <c r="T48" s="79">
        <f t="shared" si="16"/>
        <v>0.848704581896028</v>
      </c>
      <c r="U48" s="80">
        <f t="shared" si="17"/>
        <v>0.6255921181217307</v>
      </c>
      <c r="V48" s="80">
        <f t="shared" si="18"/>
        <v>0.4071000934146735</v>
      </c>
      <c r="W48" s="80">
        <f t="shared" si="19"/>
        <v>0.20831329947442043</v>
      </c>
      <c r="X48" s="81">
        <f t="shared" si="20"/>
        <v>0.15606835776378336</v>
      </c>
      <c r="Y48" s="165">
        <f t="shared" si="21"/>
        <v>15775.603985832586</v>
      </c>
      <c r="Z48" s="165">
        <f t="shared" si="22"/>
        <v>13144.171295871005</v>
      </c>
      <c r="AA48" s="165">
        <f t="shared" si="23"/>
        <v>10035.216887247821</v>
      </c>
      <c r="AB48" s="165">
        <f t="shared" si="24"/>
        <v>6340.689831894523</v>
      </c>
      <c r="AC48" s="165">
        <f t="shared" si="25"/>
        <v>5116.954863084014</v>
      </c>
      <c r="AD48" s="72">
        <f t="shared" si="26"/>
        <v>15.974157753868452</v>
      </c>
      <c r="AE48" s="73">
        <f t="shared" si="27"/>
        <v>10.041142737853205</v>
      </c>
      <c r="AF48" s="73">
        <f t="shared" si="28"/>
        <v>5.429421231257479</v>
      </c>
      <c r="AG48" s="73">
        <f t="shared" si="29"/>
        <v>2.2639012867362216</v>
      </c>
      <c r="AH48" s="74">
        <f t="shared" si="30"/>
        <v>1.5948403892973195</v>
      </c>
      <c r="AI48" s="28"/>
      <c r="BX48"/>
    </row>
    <row r="49" spans="1:76" ht="16.5">
      <c r="A49" s="18">
        <v>9</v>
      </c>
      <c r="B49" s="4">
        <v>-0.808983216110299</v>
      </c>
      <c r="C49" s="11">
        <v>246.684348194236</v>
      </c>
      <c r="D49" s="4">
        <v>-0.3360578703147423</v>
      </c>
      <c r="E49" s="4">
        <f t="shared" si="2"/>
        <v>0.8760072694610718</v>
      </c>
      <c r="F49" s="83">
        <f t="shared" si="3"/>
        <v>1.5253042019520133</v>
      </c>
      <c r="G49" s="86">
        <f t="shared" si="4"/>
        <v>465.1130769629715</v>
      </c>
      <c r="H49" s="88">
        <f t="shared" si="5"/>
        <v>0.6336231351680269</v>
      </c>
      <c r="I49" s="88">
        <f t="shared" si="6"/>
        <v>1.6516752664832837</v>
      </c>
      <c r="J49" s="57">
        <f t="shared" si="7"/>
        <v>0.4130009115562565</v>
      </c>
      <c r="K49" s="11">
        <f t="shared" si="8"/>
        <v>137.65658123975294</v>
      </c>
      <c r="L49" s="11">
        <f t="shared" si="9"/>
        <v>7087.511505648703</v>
      </c>
      <c r="M49" s="15">
        <f t="shared" si="10"/>
        <v>5.743671171443183</v>
      </c>
      <c r="N49" s="11">
        <f t="shared" si="11"/>
        <v>3224.949273889099</v>
      </c>
      <c r="O49" s="11">
        <f t="shared" si="12"/>
        <v>10252.475815647953</v>
      </c>
      <c r="P49" s="11">
        <f t="shared" si="13"/>
        <v>7.17582837652604</v>
      </c>
      <c r="Q49" s="121">
        <f t="shared" si="14"/>
        <v>20715.512675973478</v>
      </c>
      <c r="R49" s="90">
        <f t="shared" si="15"/>
        <v>0.1634219119579519</v>
      </c>
      <c r="S49" s="28"/>
      <c r="T49" s="79">
        <f t="shared" si="16"/>
        <v>0.8489620375735412</v>
      </c>
      <c r="U49" s="80">
        <f t="shared" si="17"/>
        <v>0.62803763683576</v>
      </c>
      <c r="V49" s="80">
        <f t="shared" si="18"/>
        <v>0.4130009115562565</v>
      </c>
      <c r="W49" s="80">
        <f t="shared" si="19"/>
        <v>0.2217024587892008</v>
      </c>
      <c r="X49" s="81">
        <f t="shared" si="20"/>
        <v>0.17371803344178519</v>
      </c>
      <c r="Y49" s="165">
        <f t="shared" si="21"/>
        <v>15778.416265446278</v>
      </c>
      <c r="Z49" s="165">
        <f t="shared" si="22"/>
        <v>13175.461517901535</v>
      </c>
      <c r="AA49" s="165">
        <f t="shared" si="23"/>
        <v>10129.171587212755</v>
      </c>
      <c r="AB49" s="165">
        <f t="shared" si="24"/>
        <v>6631.903385554251</v>
      </c>
      <c r="AC49" s="165">
        <f t="shared" si="25"/>
        <v>5547.426322124939</v>
      </c>
      <c r="AD49" s="72">
        <f t="shared" si="26"/>
        <v>15.981718306641488</v>
      </c>
      <c r="AE49" s="73">
        <f t="shared" si="27"/>
        <v>10.09947134990355</v>
      </c>
      <c r="AF49" s="73">
        <f t="shared" si="28"/>
        <v>5.538388914787497</v>
      </c>
      <c r="AG49" s="73">
        <f t="shared" si="29"/>
        <v>2.4462810182409767</v>
      </c>
      <c r="AH49" s="74">
        <f t="shared" si="30"/>
        <v>1.813282293056689</v>
      </c>
      <c r="AI49" s="28"/>
      <c r="BX49"/>
    </row>
    <row r="50" spans="1:76" ht="16.5">
      <c r="A50" s="18">
        <v>10</v>
      </c>
      <c r="B50" s="4">
        <v>-0.805486638655367</v>
      </c>
      <c r="C50" s="11">
        <v>245.26913205326798</v>
      </c>
      <c r="D50" s="4">
        <v>-0.3788205015613247</v>
      </c>
      <c r="E50" s="4">
        <f t="shared" si="2"/>
        <v>0.8901200466540989</v>
      </c>
      <c r="F50" s="83">
        <f t="shared" si="3"/>
        <v>1.5187115506111089</v>
      </c>
      <c r="G50" s="86">
        <f t="shared" si="4"/>
        <v>462.4447457992325</v>
      </c>
      <c r="H50" s="88">
        <f t="shared" si="5"/>
        <v>0.714250297546688</v>
      </c>
      <c r="I50" s="88">
        <f t="shared" si="6"/>
        <v>1.6782843208184755</v>
      </c>
      <c r="J50" s="57">
        <f t="shared" si="7"/>
        <v>0.41965449771758645</v>
      </c>
      <c r="K50" s="11">
        <f t="shared" si="8"/>
        <v>136.4691976296187</v>
      </c>
      <c r="L50" s="11">
        <f t="shared" si="9"/>
        <v>7023.823858084002</v>
      </c>
      <c r="M50" s="15">
        <f t="shared" si="10"/>
        <v>7.2984120043933896</v>
      </c>
      <c r="N50" s="11">
        <f t="shared" si="11"/>
        <v>3323.25698012949</v>
      </c>
      <c r="O50" s="11">
        <f t="shared" si="12"/>
        <v>10426.496542364916</v>
      </c>
      <c r="P50" s="11">
        <f t="shared" si="13"/>
        <v>7.299422816275248</v>
      </c>
      <c r="Q50" s="121">
        <f t="shared" si="14"/>
        <v>20924.644413028695</v>
      </c>
      <c r="R50" s="90">
        <f t="shared" si="15"/>
        <v>0.16507172429208208</v>
      </c>
      <c r="S50" s="28"/>
      <c r="T50" s="79">
        <f t="shared" si="16"/>
        <v>0.848803816532505</v>
      </c>
      <c r="U50" s="80">
        <f t="shared" si="17"/>
        <v>0.6305973861043889</v>
      </c>
      <c r="V50" s="80">
        <f t="shared" si="18"/>
        <v>0.41965449771758645</v>
      </c>
      <c r="W50" s="80">
        <f t="shared" si="19"/>
        <v>0.23630154726298924</v>
      </c>
      <c r="X50" s="81">
        <f t="shared" si="20"/>
        <v>0.1919339332023823</v>
      </c>
      <c r="Y50" s="165">
        <f t="shared" si="21"/>
        <v>15776.688013774292</v>
      </c>
      <c r="Z50" s="165">
        <f t="shared" si="22"/>
        <v>13208.145507614687</v>
      </c>
      <c r="AA50" s="165">
        <f t="shared" si="23"/>
        <v>10234.297514600545</v>
      </c>
      <c r="AB50" s="165">
        <f t="shared" si="24"/>
        <v>6940.483364344328</v>
      </c>
      <c r="AC50" s="165">
        <f t="shared" si="25"/>
        <v>5972.868311490728</v>
      </c>
      <c r="AD50" s="72">
        <f t="shared" si="26"/>
        <v>15.97707172533456</v>
      </c>
      <c r="AE50" s="73">
        <f t="shared" si="27"/>
        <v>10.160683635903176</v>
      </c>
      <c r="AF50" s="73">
        <f t="shared" si="28"/>
        <v>5.662295132436886</v>
      </c>
      <c r="AG50" s="73">
        <f t="shared" si="29"/>
        <v>2.650216827292241</v>
      </c>
      <c r="AH50" s="74">
        <f t="shared" si="30"/>
        <v>2.046846760409374</v>
      </c>
      <c r="AI50" s="28"/>
      <c r="BX50"/>
    </row>
    <row r="51" spans="1:76" ht="16.5">
      <c r="A51" s="18">
        <v>11</v>
      </c>
      <c r="B51" s="4">
        <v>-0.8015244467186982</v>
      </c>
      <c r="C51" s="11">
        <v>243.52097485084414</v>
      </c>
      <c r="D51" s="4">
        <v>-0.42258181905155917</v>
      </c>
      <c r="E51" s="4">
        <f t="shared" si="2"/>
        <v>0.9060997916789518</v>
      </c>
      <c r="F51" s="83">
        <f t="shared" si="3"/>
        <v>1.5112410025334868</v>
      </c>
      <c r="G51" s="86">
        <f t="shared" si="4"/>
        <v>459.14866811377635</v>
      </c>
      <c r="H51" s="88">
        <f t="shared" si="5"/>
        <v>0.7967604412944786</v>
      </c>
      <c r="I51" s="88">
        <f t="shared" si="6"/>
        <v>1.7084134653385845</v>
      </c>
      <c r="J51" s="57">
        <f t="shared" si="7"/>
        <v>0.4271882813878532</v>
      </c>
      <c r="K51" s="11">
        <f t="shared" si="8"/>
        <v>135.1299146827289</v>
      </c>
      <c r="L51" s="11">
        <f t="shared" si="9"/>
        <v>6950.957667471867</v>
      </c>
      <c r="M51" s="15">
        <f t="shared" si="10"/>
        <v>9.082032322099074</v>
      </c>
      <c r="N51" s="11">
        <f t="shared" si="11"/>
        <v>3436.133699477597</v>
      </c>
      <c r="O51" s="11">
        <f t="shared" si="12"/>
        <v>10606.028589841218</v>
      </c>
      <c r="P51" s="11">
        <f t="shared" si="13"/>
        <v>7.434854661140065</v>
      </c>
      <c r="Q51" s="121">
        <f t="shared" si="14"/>
        <v>21144.766758456648</v>
      </c>
      <c r="R51" s="90">
        <f t="shared" si="15"/>
        <v>0.16680824006734585</v>
      </c>
      <c r="S51" s="28"/>
      <c r="T51" s="79">
        <f t="shared" si="16"/>
        <v>0.8484486967858953</v>
      </c>
      <c r="U51" s="80">
        <f t="shared" si="17"/>
        <v>0.6334515820285844</v>
      </c>
      <c r="V51" s="80">
        <f t="shared" si="18"/>
        <v>0.4271882813878532</v>
      </c>
      <c r="W51" s="80">
        <f t="shared" si="19"/>
        <v>0.2520951289086275</v>
      </c>
      <c r="X51" s="81">
        <f t="shared" si="20"/>
        <v>0.21082524888534107</v>
      </c>
      <c r="Y51" s="165">
        <f t="shared" si="21"/>
        <v>15772.808419955403</v>
      </c>
      <c r="Z51" s="165">
        <f t="shared" si="22"/>
        <v>13244.507851983064</v>
      </c>
      <c r="AA51" s="165">
        <f t="shared" si="23"/>
        <v>10352.311550906777</v>
      </c>
      <c r="AB51" s="165">
        <f t="shared" si="24"/>
        <v>7264.5645130295925</v>
      </c>
      <c r="AC51" s="165">
        <f t="shared" si="25"/>
        <v>6395.950613331261</v>
      </c>
      <c r="AD51" s="72">
        <f t="shared" si="26"/>
        <v>15.96664495456704</v>
      </c>
      <c r="AE51" s="73">
        <f t="shared" si="27"/>
        <v>10.229129068748456</v>
      </c>
      <c r="AF51" s="73">
        <f t="shared" si="28"/>
        <v>5.803920372930226</v>
      </c>
      <c r="AG51" s="73">
        <f t="shared" si="29"/>
        <v>2.8768006034520277</v>
      </c>
      <c r="AH51" s="74">
        <f t="shared" si="30"/>
        <v>2.297778306002575</v>
      </c>
      <c r="AI51" s="28"/>
      <c r="BX51"/>
    </row>
    <row r="52" spans="1:76" ht="16.5">
      <c r="A52" s="18">
        <v>12</v>
      </c>
      <c r="B52" s="4">
        <v>-0.7970047609221869</v>
      </c>
      <c r="C52" s="11">
        <v>241.13815804634072</v>
      </c>
      <c r="D52" s="4">
        <v>-0.4676103714250752</v>
      </c>
      <c r="E52" s="4">
        <f t="shared" si="2"/>
        <v>0.924054137156979</v>
      </c>
      <c r="F52" s="83">
        <f t="shared" si="3"/>
        <v>1.5027193229737201</v>
      </c>
      <c r="G52" s="86">
        <f t="shared" si="4"/>
        <v>454.6559661491222</v>
      </c>
      <c r="H52" s="88">
        <f t="shared" si="5"/>
        <v>0.8816599037003539</v>
      </c>
      <c r="I52" s="88">
        <f t="shared" si="6"/>
        <v>1.7422656368738705</v>
      </c>
      <c r="J52" s="57">
        <f t="shared" si="7"/>
        <v>0.4356530068614022</v>
      </c>
      <c r="K52" s="11">
        <f t="shared" si="8"/>
        <v>133.61025347750822</v>
      </c>
      <c r="L52" s="11">
        <f t="shared" si="9"/>
        <v>6865.51657086795</v>
      </c>
      <c r="M52" s="15">
        <f t="shared" si="10"/>
        <v>11.120637822533741</v>
      </c>
      <c r="N52" s="11">
        <f t="shared" si="11"/>
        <v>3564.9281600239738</v>
      </c>
      <c r="O52" s="11">
        <f t="shared" si="12"/>
        <v>10789.534737341646</v>
      </c>
      <c r="P52" s="11">
        <f t="shared" si="13"/>
        <v>7.579244366669212</v>
      </c>
      <c r="Q52" s="121">
        <f t="shared" si="14"/>
        <v>21372.289603900277</v>
      </c>
      <c r="R52" s="90">
        <f t="shared" si="15"/>
        <v>0.16860313739854427</v>
      </c>
      <c r="S52" s="28"/>
      <c r="T52" s="79">
        <f t="shared" si="16"/>
        <v>0.8474022164682903</v>
      </c>
      <c r="U52" s="80">
        <f t="shared" si="17"/>
        <v>0.6363941394996522</v>
      </c>
      <c r="V52" s="80">
        <f t="shared" si="18"/>
        <v>0.4356530068614022</v>
      </c>
      <c r="W52" s="80">
        <f t="shared" si="19"/>
        <v>0.26921857526739423</v>
      </c>
      <c r="X52" s="81">
        <f t="shared" si="20"/>
        <v>0.23033192882094491</v>
      </c>
      <c r="Y52" s="165">
        <f t="shared" si="21"/>
        <v>15761.370944841248</v>
      </c>
      <c r="Z52" s="165">
        <f t="shared" si="22"/>
        <v>13281.906800497076</v>
      </c>
      <c r="AA52" s="165">
        <f t="shared" si="23"/>
        <v>10483.649690622813</v>
      </c>
      <c r="AB52" s="165">
        <f t="shared" si="24"/>
        <v>7605.35718089963</v>
      </c>
      <c r="AC52" s="165">
        <f t="shared" si="25"/>
        <v>6815.389069847467</v>
      </c>
      <c r="AD52" s="72">
        <f t="shared" si="26"/>
        <v>15.935937169478182</v>
      </c>
      <c r="AE52" s="73">
        <f t="shared" si="27"/>
        <v>10.29990532922067</v>
      </c>
      <c r="AF52" s="73">
        <f t="shared" si="28"/>
        <v>5.9647281309204665</v>
      </c>
      <c r="AG52" s="73">
        <f t="shared" si="29"/>
        <v>3.1294642859758133</v>
      </c>
      <c r="AH52" s="74">
        <f t="shared" si="30"/>
        <v>2.5661869177509273</v>
      </c>
      <c r="AI52" s="28"/>
      <c r="BX52"/>
    </row>
    <row r="53" spans="1:76" ht="16.5">
      <c r="A53" s="18">
        <v>13</v>
      </c>
      <c r="B53" s="4">
        <v>-0.7918310116276626</v>
      </c>
      <c r="C53" s="11">
        <v>238.16823057209103</v>
      </c>
      <c r="D53" s="4">
        <v>-0.5142884104791888</v>
      </c>
      <c r="E53" s="4">
        <f t="shared" si="2"/>
        <v>0.9441869095303631</v>
      </c>
      <c r="F53" s="83">
        <f t="shared" si="3"/>
        <v>1.4929644338961345</v>
      </c>
      <c r="G53" s="86">
        <f t="shared" si="4"/>
        <v>449.05629143924773</v>
      </c>
      <c r="H53" s="88">
        <f t="shared" si="5"/>
        <v>0.9696694046272709</v>
      </c>
      <c r="I53" s="88">
        <f t="shared" si="6"/>
        <v>1.7802251417023107</v>
      </c>
      <c r="J53" s="57">
        <f t="shared" si="7"/>
        <v>0.44514476980930284</v>
      </c>
      <c r="K53" s="11">
        <f t="shared" si="8"/>
        <v>131.881224204246</v>
      </c>
      <c r="L53" s="11">
        <f t="shared" si="9"/>
        <v>6766.671631871283</v>
      </c>
      <c r="M53" s="15">
        <f t="shared" si="10"/>
        <v>13.451629650555239</v>
      </c>
      <c r="N53" s="11">
        <f t="shared" si="11"/>
        <v>3711.811802711517</v>
      </c>
      <c r="O53" s="11">
        <f t="shared" si="12"/>
        <v>10978.63107923675</v>
      </c>
      <c r="P53" s="11">
        <f t="shared" si="13"/>
        <v>7.73597180252054</v>
      </c>
      <c r="Q53" s="121">
        <f t="shared" si="14"/>
        <v>21610.183339476873</v>
      </c>
      <c r="R53" s="90">
        <f t="shared" si="15"/>
        <v>0.17047984929647558</v>
      </c>
      <c r="S53" s="28"/>
      <c r="T53" s="79">
        <f t="shared" si="16"/>
        <v>0.8458313432628252</v>
      </c>
      <c r="U53" s="80">
        <f t="shared" si="17"/>
        <v>0.6395669946096715</v>
      </c>
      <c r="V53" s="80">
        <f t="shared" si="18"/>
        <v>0.44514476980930284</v>
      </c>
      <c r="W53" s="80">
        <f t="shared" si="19"/>
        <v>0.2876707105865746</v>
      </c>
      <c r="X53" s="81">
        <f t="shared" si="20"/>
        <v>0.25069434679798824</v>
      </c>
      <c r="Y53" s="165">
        <f t="shared" si="21"/>
        <v>15744.188258329996</v>
      </c>
      <c r="Z53" s="165">
        <f t="shared" si="22"/>
        <v>13322.132093410197</v>
      </c>
      <c r="AA53" s="165">
        <f t="shared" si="23"/>
        <v>10629.382772253373</v>
      </c>
      <c r="AB53" s="165">
        <f t="shared" si="24"/>
        <v>7961.241757028458</v>
      </c>
      <c r="AC53" s="165">
        <f t="shared" si="25"/>
        <v>7236.210515161719</v>
      </c>
      <c r="AD53" s="72">
        <f t="shared" si="26"/>
        <v>15.889892733963158</v>
      </c>
      <c r="AE53" s="73">
        <f t="shared" si="27"/>
        <v>10.376461855460064</v>
      </c>
      <c r="AF53" s="73">
        <f t="shared" si="28"/>
        <v>6.147163878825839</v>
      </c>
      <c r="AG53" s="73">
        <f t="shared" si="29"/>
        <v>3.4098867778676536</v>
      </c>
      <c r="AH53" s="74">
        <f t="shared" si="30"/>
        <v>2.856453766485983</v>
      </c>
      <c r="AI53" s="28"/>
      <c r="BX53"/>
    </row>
    <row r="54" spans="1:76" ht="16.5">
      <c r="A54" s="18">
        <v>14</v>
      </c>
      <c r="B54" s="4">
        <v>-0.7860744857851696</v>
      </c>
      <c r="C54" s="11">
        <v>234.15578260976827</v>
      </c>
      <c r="D54" s="4">
        <v>-0.5627596874814667</v>
      </c>
      <c r="E54" s="4">
        <f t="shared" si="2"/>
        <v>0.96675310346368</v>
      </c>
      <c r="F54" s="83">
        <f t="shared" si="3"/>
        <v>1.4821107438796504</v>
      </c>
      <c r="G54" s="86">
        <f t="shared" si="4"/>
        <v>441.49098771580157</v>
      </c>
      <c r="H54" s="88">
        <f t="shared" si="5"/>
        <v>1.061059981110472</v>
      </c>
      <c r="I54" s="88">
        <f t="shared" si="6"/>
        <v>1.8227727616567146</v>
      </c>
      <c r="J54" s="57">
        <f t="shared" si="7"/>
        <v>0.45578378958655746</v>
      </c>
      <c r="K54" s="11">
        <f t="shared" si="8"/>
        <v>129.97066981990164</v>
      </c>
      <c r="L54" s="11">
        <f t="shared" si="9"/>
        <v>6652.647673063909</v>
      </c>
      <c r="M54" s="15">
        <f t="shared" si="10"/>
        <v>16.106730284367647</v>
      </c>
      <c r="N54" s="11">
        <f t="shared" si="11"/>
        <v>3879.520143397539</v>
      </c>
      <c r="O54" s="11">
        <f t="shared" si="12"/>
        <v>11171.61779241281</v>
      </c>
      <c r="P54" s="11">
        <f t="shared" si="13"/>
        <v>7.901827857425408</v>
      </c>
      <c r="Q54" s="121">
        <f t="shared" si="14"/>
        <v>21857.76483683595</v>
      </c>
      <c r="R54" s="90">
        <f t="shared" si="15"/>
        <v>0.1724329866528472</v>
      </c>
      <c r="S54" s="28"/>
      <c r="T54" s="79">
        <f t="shared" si="16"/>
        <v>0.8430928475750528</v>
      </c>
      <c r="U54" s="80">
        <f t="shared" si="17"/>
        <v>0.6427449784325214</v>
      </c>
      <c r="V54" s="80">
        <f t="shared" si="18"/>
        <v>0.45578378958655746</v>
      </c>
      <c r="W54" s="80">
        <f t="shared" si="19"/>
        <v>0.30766672923992516</v>
      </c>
      <c r="X54" s="81">
        <f t="shared" si="20"/>
        <v>0.27181053620886914</v>
      </c>
      <c r="Y54" s="165">
        <f t="shared" si="21"/>
        <v>15714.193812075078</v>
      </c>
      <c r="Z54" s="165">
        <f t="shared" si="22"/>
        <v>13362.318458479707</v>
      </c>
      <c r="AA54" s="165">
        <f t="shared" si="23"/>
        <v>10790.853499864035</v>
      </c>
      <c r="AB54" s="165">
        <f t="shared" si="24"/>
        <v>8334.685966797088</v>
      </c>
      <c r="AC54" s="165">
        <f t="shared" si="25"/>
        <v>7656.037224848138</v>
      </c>
      <c r="AD54" s="72">
        <f t="shared" si="26"/>
        <v>15.809770269226354</v>
      </c>
      <c r="AE54" s="73">
        <f t="shared" si="27"/>
        <v>10.4533928134781</v>
      </c>
      <c r="AF54" s="73">
        <f t="shared" si="28"/>
        <v>6.354310535207088</v>
      </c>
      <c r="AG54" s="73">
        <f t="shared" si="29"/>
        <v>3.7233211931031738</v>
      </c>
      <c r="AH54" s="74">
        <f t="shared" si="30"/>
        <v>3.168344476112322</v>
      </c>
      <c r="AI54" s="28"/>
      <c r="BX54"/>
    </row>
    <row r="55" spans="1:76" ht="16.5">
      <c r="A55" s="18">
        <v>15</v>
      </c>
      <c r="B55" s="4">
        <v>-0.7797235727397585</v>
      </c>
      <c r="C55" s="11">
        <v>228.70524440167958</v>
      </c>
      <c r="D55" s="4">
        <v>-0.6155142377819834</v>
      </c>
      <c r="E55" s="4">
        <f t="shared" si="2"/>
        <v>0.9933914771118129</v>
      </c>
      <c r="F55" s="83">
        <f t="shared" si="3"/>
        <v>1.4701363615173386</v>
      </c>
      <c r="G55" s="86">
        <f t="shared" si="4"/>
        <v>431.21422465553536</v>
      </c>
      <c r="H55" s="88">
        <f t="shared" si="5"/>
        <v>1.160526491222217</v>
      </c>
      <c r="I55" s="88">
        <f t="shared" si="6"/>
        <v>1.8729983070691734</v>
      </c>
      <c r="J55" s="57">
        <f t="shared" si="7"/>
        <v>0.46834267235224886</v>
      </c>
      <c r="K55" s="11">
        <f t="shared" si="8"/>
        <v>127.87901568534076</v>
      </c>
      <c r="L55" s="11">
        <f t="shared" si="9"/>
        <v>6521.1392033219445</v>
      </c>
      <c r="M55" s="15">
        <f t="shared" si="10"/>
        <v>19.26804417066761</v>
      </c>
      <c r="N55" s="11">
        <f t="shared" si="11"/>
        <v>4081.6344455327644</v>
      </c>
      <c r="O55" s="11">
        <f t="shared" si="12"/>
        <v>11378.98887810227</v>
      </c>
      <c r="P55" s="11">
        <f t="shared" si="13"/>
        <v>8.088729451700583</v>
      </c>
      <c r="Q55" s="121">
        <f t="shared" si="14"/>
        <v>22136.99831626469</v>
      </c>
      <c r="R55" s="90">
        <f t="shared" si="15"/>
        <v>0.17463582226713745</v>
      </c>
      <c r="S55" s="28"/>
      <c r="T55" s="79">
        <f t="shared" si="16"/>
        <v>0.8390419069887993</v>
      </c>
      <c r="U55" s="80">
        <f t="shared" si="17"/>
        <v>0.6462511433006275</v>
      </c>
      <c r="V55" s="80">
        <f t="shared" si="18"/>
        <v>0.46834267235224886</v>
      </c>
      <c r="W55" s="80">
        <f t="shared" si="19"/>
        <v>0.3303093660031972</v>
      </c>
      <c r="X55" s="81">
        <f t="shared" si="20"/>
        <v>0.2948199379070771</v>
      </c>
      <c r="Y55" s="165">
        <f t="shared" si="21"/>
        <v>15669.730725607636</v>
      </c>
      <c r="Z55" s="165">
        <f t="shared" si="22"/>
        <v>13406.534971344352</v>
      </c>
      <c r="AA55" s="165">
        <f t="shared" si="23"/>
        <v>10978.996139486693</v>
      </c>
      <c r="AB55" s="165">
        <f t="shared" si="24"/>
        <v>8743.517843525427</v>
      </c>
      <c r="AC55" s="165">
        <f t="shared" si="25"/>
        <v>8096.164710547234</v>
      </c>
      <c r="AD55" s="72">
        <f t="shared" si="26"/>
        <v>15.691590114623986</v>
      </c>
      <c r="AE55" s="73">
        <f t="shared" si="27"/>
        <v>10.538559290995808</v>
      </c>
      <c r="AF55" s="73">
        <f t="shared" si="28"/>
        <v>6.602456428375692</v>
      </c>
      <c r="AG55" s="73">
        <f t="shared" si="29"/>
        <v>4.090232409242117</v>
      </c>
      <c r="AH55" s="74">
        <f t="shared" si="30"/>
        <v>3.5208090152653124</v>
      </c>
      <c r="AI55" s="28"/>
      <c r="BX55"/>
    </row>
    <row r="56" spans="1:76" ht="16.5">
      <c r="A56" s="15">
        <v>15.673373548625944</v>
      </c>
      <c r="B56" s="4">
        <v>-0.7724384853461057</v>
      </c>
      <c r="C56" s="11">
        <v>221.49363573046517</v>
      </c>
      <c r="D56" s="4">
        <v>-0.6088285186356931</v>
      </c>
      <c r="E56" s="4">
        <f t="shared" si="2"/>
        <v>0.9835310766559023</v>
      </c>
      <c r="F56" s="83">
        <f t="shared" si="3"/>
        <v>1.4564006322811325</v>
      </c>
      <c r="G56" s="86">
        <f t="shared" si="4"/>
        <v>417.6170364939244</v>
      </c>
      <c r="H56" s="88">
        <f t="shared" si="5"/>
        <v>1.147920845883937</v>
      </c>
      <c r="I56" s="88">
        <f t="shared" si="6"/>
        <v>1.8544069321817624</v>
      </c>
      <c r="J56" s="57">
        <f t="shared" si="7"/>
        <v>0.4636939045639334</v>
      </c>
      <c r="K56" s="11">
        <f t="shared" si="8"/>
        <v>125.50058890794901</v>
      </c>
      <c r="L56" s="11">
        <f t="shared" si="9"/>
        <v>6365.968777104288</v>
      </c>
      <c r="M56" s="15">
        <f t="shared" si="10"/>
        <v>18.851738265138057</v>
      </c>
      <c r="N56" s="11">
        <f t="shared" si="11"/>
        <v>4006.2999656831093</v>
      </c>
      <c r="O56" s="11">
        <f t="shared" si="12"/>
        <v>11279.876014175261</v>
      </c>
      <c r="P56" s="11">
        <f t="shared" si="13"/>
        <v>7.904629620544337</v>
      </c>
      <c r="Q56" s="121">
        <f t="shared" si="14"/>
        <v>21804.40171375629</v>
      </c>
      <c r="R56" s="90">
        <f>Q56*J$29*(A56-A55)</f>
        <v>0.11582833899679777</v>
      </c>
      <c r="S56" s="28"/>
      <c r="T56" s="79">
        <f t="shared" si="16"/>
        <v>0.822317822633339</v>
      </c>
      <c r="U56" s="80">
        <f t="shared" si="17"/>
        <v>0.6358573546635953</v>
      </c>
      <c r="V56" s="80">
        <f t="shared" si="18"/>
        <v>0.4636939045639334</v>
      </c>
      <c r="W56" s="80">
        <f t="shared" si="19"/>
        <v>0.3290881133835112</v>
      </c>
      <c r="X56" s="81">
        <f t="shared" si="20"/>
        <v>0.2901300108597915</v>
      </c>
      <c r="Y56" s="165">
        <f t="shared" si="21"/>
        <v>15484.968479223891</v>
      </c>
      <c r="Z56" s="165">
        <f t="shared" si="22"/>
        <v>13275.091158942301</v>
      </c>
      <c r="AA56" s="165">
        <f t="shared" si="23"/>
        <v>10909.658959932929</v>
      </c>
      <c r="AB56" s="165">
        <f t="shared" si="24"/>
        <v>8721.82591999413</v>
      </c>
      <c r="AC56" s="165">
        <f t="shared" si="25"/>
        <v>8007.835552783059</v>
      </c>
      <c r="AD56" s="72">
        <f t="shared" si="26"/>
        <v>15.20800532890219</v>
      </c>
      <c r="AE56" s="73">
        <f t="shared" si="27"/>
        <v>10.286978199813202</v>
      </c>
      <c r="AF56" s="73">
        <f t="shared" si="28"/>
        <v>6.5101465691939016</v>
      </c>
      <c r="AG56" s="73">
        <f t="shared" si="29"/>
        <v>4.070117762012526</v>
      </c>
      <c r="AH56" s="74">
        <f t="shared" si="30"/>
        <v>3.4479002427998666</v>
      </c>
      <c r="AI56" s="28"/>
      <c r="BX56"/>
    </row>
    <row r="57" spans="2:76" ht="6" customHeight="1">
      <c r="B57" s="4"/>
      <c r="D57" s="4"/>
      <c r="E57" s="4"/>
      <c r="F57" s="83"/>
      <c r="G57" s="86"/>
      <c r="H57" s="88"/>
      <c r="I57" s="88"/>
      <c r="J57" s="57"/>
      <c r="L57" s="11"/>
      <c r="M57" s="15"/>
      <c r="N57" s="11"/>
      <c r="O57" s="11"/>
      <c r="P57" s="11"/>
      <c r="Q57" s="121"/>
      <c r="R57" s="90"/>
      <c r="S57" s="28"/>
      <c r="T57" s="79"/>
      <c r="U57" s="80"/>
      <c r="V57" s="80"/>
      <c r="W57" s="80"/>
      <c r="X57" s="81"/>
      <c r="Y57" s="165"/>
      <c r="Z57" s="165"/>
      <c r="AA57" s="165"/>
      <c r="AB57" s="165"/>
      <c r="AC57" s="165"/>
      <c r="AD57" s="64"/>
      <c r="AE57" s="65"/>
      <c r="AF57" s="65"/>
      <c r="AG57" s="65"/>
      <c r="AH57" s="66"/>
      <c r="AI57" s="28"/>
      <c r="BX57"/>
    </row>
    <row r="58" spans="1:76" ht="16.5">
      <c r="A58" s="15">
        <f>I25</f>
        <v>17.081863443783423</v>
      </c>
      <c r="B58" s="4">
        <v>-0.7697157603408762</v>
      </c>
      <c r="C58" s="11">
        <v>221.1340494294688</v>
      </c>
      <c r="D58" s="4">
        <v>-0.471884695094082</v>
      </c>
      <c r="E58" s="4">
        <f aca="true" t="shared" si="31" ref="E58:E77">SQRT(B58^2+D58^2)</f>
        <v>0.9028496647732489</v>
      </c>
      <c r="F58" s="83">
        <f aca="true" t="shared" si="32" ref="F58:F77">-B58*$E$29*(1-$E$33)/$E$30/$E$34</f>
        <v>1.4512670475434855</v>
      </c>
      <c r="G58" s="86">
        <f aca="true" t="shared" si="33" ref="G58:G77">C58*$E$29*(1-$E$33)/$E$30/$E$34</f>
        <v>416.9390514814401</v>
      </c>
      <c r="H58" s="88">
        <f aca="true" t="shared" si="34" ref="H58:H77">-D58*$E$29*(1-$E$33)/$E$30/$E$34</f>
        <v>0.8897189631752664</v>
      </c>
      <c r="I58" s="88">
        <f aca="true" t="shared" si="35" ref="I58:I77">E58*$E$29*(1-$E$33)/$E$30/$E$34</f>
        <v>1.70228548625642</v>
      </c>
      <c r="J58" s="57">
        <f aca="true" t="shared" si="36" ref="J58:J77">E58*E$29/E$30</f>
        <v>0.42565598203198757</v>
      </c>
      <c r="K58" s="11">
        <f aca="true" t="shared" si="37" ref="K58:K77">L$33*E$14/120*F58^2/E$8*E$7*E$10*(E$10-1)*E$5/E$6</f>
        <v>124.61740824782203</v>
      </c>
      <c r="L58" s="11">
        <f aca="true" t="shared" si="38" ref="L58:L77">L$34*E$14/6*F58^2/E$9*E$7*E$5/E$6*(1+(G58*E$5/F58)^2/15)</f>
        <v>6323.942690424484</v>
      </c>
      <c r="M58" s="15">
        <f aca="true" t="shared" si="39" ref="M58:M77">L$35*E$14/8*H58^2/E$9*E$7*E$6/E$5</f>
        <v>11.324869608957568</v>
      </c>
      <c r="N58" s="11">
        <f aca="true" t="shared" si="40" ref="N58:N77">E$14*E$15*(E$12/E$11)^2*J58*(1-E$33)/E$34^2*(E$20/2/PI())^2/E$19*LN((E$18+E$19*J58)/(E$18+E$19*E$33*J58))</f>
        <v>3413.0415493544624</v>
      </c>
      <c r="O58" s="11">
        <f aca="true" t="shared" si="41" ref="O58:O77">(Y58+Z58+AA58+AB58+AC58)/5</f>
        <v>10583.503369703447</v>
      </c>
      <c r="P58" s="11">
        <f aca="true" t="shared" si="42" ref="P58:P77">(AD58+AE58+AF58+AG58+AH58)/5</f>
        <v>7.138836426846335</v>
      </c>
      <c r="Q58" s="121">
        <f aca="true" t="shared" si="43" ref="Q58:Q77">SUM(K58:P58)</f>
        <v>20463.56872376602</v>
      </c>
      <c r="R58" s="90">
        <f>Q58*J$29*(A59-A58)</f>
        <v>0.148218787141688</v>
      </c>
      <c r="S58" s="28"/>
      <c r="T58" s="79">
        <f aca="true" t="shared" si="44" ref="T58:T77">SQRT(($B58-$C58*0.8*$E$5)^2+$D58^2)*$E$29/$E$30</f>
        <v>0.8001996043651188</v>
      </c>
      <c r="U58" s="80">
        <f aca="true" t="shared" si="45" ref="U58:U77">SQRT(($B58-$C58*0.4*$E$5)^2+$D58^2)*$E$29/$E$30</f>
        <v>0.6079395028456639</v>
      </c>
      <c r="V58" s="80">
        <f aca="true" t="shared" si="46" ref="V58:V77">SQRT(($B58)^2+$D58^2)*$E$29/$E$30</f>
        <v>0.42565598203198757</v>
      </c>
      <c r="W58" s="80">
        <f aca="true" t="shared" si="47" ref="W58:W77">SQRT(($B58+$C58*0.4*$E$5)^2+$D58^2)*$E$29/$E$30</f>
        <v>0.27403856404572136</v>
      </c>
      <c r="X58" s="81">
        <f aca="true" t="shared" si="48" ref="X58:X77">SQRT(($B58+$C58*0.8*$E$5)^2+$D58^2)*$E$29/$E$30</f>
        <v>0.2265674243003804</v>
      </c>
      <c r="Y58" s="165">
        <f aca="true" t="shared" si="49" ref="Y58:Y77">$L$36*$E$14*$E$15*$E$17/$E$34*2/3*$E$21/PI()*($E$22*$E$23*LN((T58+$E$23)/($E$33*T58+$E$23))+$E$24*T58*(1-$E$33)+$E$25*T58^2/2*(1-$E$33^2))</f>
        <v>15237.570851000099</v>
      </c>
      <c r="Z58" s="165">
        <f aca="true" t="shared" si="50" ref="Z58:Z77">$L$36*$E$14*$E$15*$E$17/$E$34*2/3*$E$21/PI()*($E$22*$E$23*LN((U58+$E$23)/($E$33*U58+$E$23))+$E$24*U58*(1-$E$33)+$E$25*U58^2/2*(1-$E$33^2))</f>
        <v>12916.395457363435</v>
      </c>
      <c r="AA58" s="165">
        <f aca="true" t="shared" si="51" ref="AA58:AA77">$L$36*$E$14*$E$15*$E$17/$E$34*2/3*$E$21/PI()*($E$22*$E$23*LN((V58+$E$23)/($E$33*V58+$E$23))+$E$24*V58*(1-$E$33)+$E$25*V58^2/2*(1-$E$33^2))</f>
        <v>10328.395054840548</v>
      </c>
      <c r="AB58" s="165">
        <f aca="true" t="shared" si="52" ref="AB58:AB77">$L$36*$E$14*$E$15*$E$17/$E$34*2/3*$E$21/PI()*($E$22*$E$23*LN((W58+$E$23)/($E$33*W58+$E$23))+$E$24*W58*(1-$E$33)+$E$25*W58^2/2*(1-$E$33^2))</f>
        <v>7699.417562135937</v>
      </c>
      <c r="AC58" s="165">
        <f aca="true" t="shared" si="53" ref="AC58:AC77">$L$36*$E$14*$E$15*$E$17/$E$34*2/3*$E$21/PI()*($E$22*$E$23*LN((X58+$E$23)/($E$33*X58+$E$23))+$E$24*X58*(1-$E$33)+$E$25*X58^2/2*(1-$E$33^2))</f>
        <v>6735.737923177213</v>
      </c>
      <c r="AD58" s="72">
        <f aca="true" t="shared" si="54" ref="AD58:AD77">1/9/PI()*$E$21/$E$34*$E$28^2*T58*(3*T58+4*$E$27)/($E$26*$E$27*$E$14*$E$15*$E$17*16*$E$5^2*$E$6^2)</f>
        <v>14.579117429813927</v>
      </c>
      <c r="AE58" s="73">
        <f aca="true" t="shared" si="55" ref="AE58:AE77">1/9/PI()*$E$21/$E$34*$E$28^2*U58*(3*U58+4*$E$27)/($E$26*$E$27*$E$14*$E$15*$E$17*16*$E$5^2*$E$6^2)</f>
        <v>9.624512911388274</v>
      </c>
      <c r="AF58" s="73">
        <f aca="true" t="shared" si="56" ref="AF58:AF77">1/9/PI()*$E$21/$E$34*$E$28^2*V58*(3*V58+4*$E$27)/($E$26*$E$27*$E$14*$E$15*$E$17*16*$E$5^2*$E$6^2)</f>
        <v>5.7750009364189845</v>
      </c>
      <c r="AG58" s="73">
        <f aca="true" t="shared" si="57" ref="AG58:AG77">1/9/PI()*$E$21/$E$34*$E$28^2*W58*(3*W58+4*$E$27)/($E$26*$E$27*$E$14*$E$15*$E$17*16*$E$5^2*$E$6^2)</f>
        <v>3.201898946342727</v>
      </c>
      <c r="AH58" s="74">
        <f aca="true" t="shared" si="58" ref="AH58:AH77">1/9/PI()*$E$21/$E$34*$E$28^2*X58*(3*X58+4*$E$27)/($E$26*$E$27*$E$14*$E$15*$E$17*16*$E$5^2*$E$6^2)</f>
        <v>2.5136519102677624</v>
      </c>
      <c r="AI58" s="28"/>
      <c r="BX58"/>
    </row>
    <row r="59" spans="1:76" ht="16.5">
      <c r="A59" s="18">
        <v>18</v>
      </c>
      <c r="B59" s="4">
        <v>-0.7688376834784396</v>
      </c>
      <c r="C59" s="11">
        <v>227.4487999096361</v>
      </c>
      <c r="D59" s="4">
        <v>-0.4725847095030641</v>
      </c>
      <c r="E59" s="4">
        <f t="shared" si="31"/>
        <v>0.9024675568642835</v>
      </c>
      <c r="F59" s="83">
        <f t="shared" si="32"/>
        <v>1.4496114701455376</v>
      </c>
      <c r="G59" s="86">
        <f t="shared" si="33"/>
        <v>428.8452508312724</v>
      </c>
      <c r="H59" s="88">
        <f t="shared" si="34"/>
        <v>0.8910388112242545</v>
      </c>
      <c r="I59" s="88">
        <f t="shared" si="35"/>
        <v>1.7015650376889624</v>
      </c>
      <c r="J59" s="57">
        <f t="shared" si="36"/>
        <v>0.4254758340809179</v>
      </c>
      <c r="K59" s="11">
        <f t="shared" si="37"/>
        <v>124.33324816101029</v>
      </c>
      <c r="L59" s="11">
        <f t="shared" si="38"/>
        <v>6353.395686686154</v>
      </c>
      <c r="M59" s="15">
        <f t="shared" si="39"/>
        <v>11.358494144960337</v>
      </c>
      <c r="N59" s="11">
        <f t="shared" si="40"/>
        <v>3410.331164718648</v>
      </c>
      <c r="O59" s="11">
        <f t="shared" si="41"/>
        <v>10619.934917355697</v>
      </c>
      <c r="P59" s="11">
        <f t="shared" si="42"/>
        <v>7.22161118823545</v>
      </c>
      <c r="Q59" s="121">
        <f t="shared" si="43"/>
        <v>20526.575122254704</v>
      </c>
      <c r="R59" s="90">
        <f aca="true" t="shared" si="59" ref="R59:R76">Q59*J$29</f>
        <v>0.16193140883826845</v>
      </c>
      <c r="S59" s="28"/>
      <c r="T59" s="79">
        <f t="shared" si="44"/>
        <v>0.8110287102922564</v>
      </c>
      <c r="U59" s="80">
        <f t="shared" si="45"/>
        <v>0.6130689187680335</v>
      </c>
      <c r="V59" s="80">
        <f t="shared" si="46"/>
        <v>0.4254758340809179</v>
      </c>
      <c r="W59" s="80">
        <f t="shared" si="47"/>
        <v>0.27073257580251076</v>
      </c>
      <c r="X59" s="81">
        <f t="shared" si="48"/>
        <v>0.22946203564170262</v>
      </c>
      <c r="Y59" s="165">
        <f t="shared" si="49"/>
        <v>15359.137461402253</v>
      </c>
      <c r="Z59" s="165">
        <f t="shared" si="50"/>
        <v>12982.931889254098</v>
      </c>
      <c r="AA59" s="165">
        <f t="shared" si="51"/>
        <v>10325.580381860624</v>
      </c>
      <c r="AB59" s="165">
        <f t="shared" si="52"/>
        <v>7634.988177476525</v>
      </c>
      <c r="AC59" s="165">
        <f t="shared" si="53"/>
        <v>6797.036676784984</v>
      </c>
      <c r="AD59" s="72">
        <f t="shared" si="54"/>
        <v>14.885503261943677</v>
      </c>
      <c r="AE59" s="73">
        <f t="shared" si="55"/>
        <v>9.744777436081971</v>
      </c>
      <c r="AF59" s="73">
        <f t="shared" si="56"/>
        <v>5.771604794576954</v>
      </c>
      <c r="AG59" s="73">
        <f t="shared" si="57"/>
        <v>3.1521544764680507</v>
      </c>
      <c r="AH59" s="74">
        <f t="shared" si="58"/>
        <v>2.554015972106589</v>
      </c>
      <c r="AI59" s="28"/>
      <c r="BX59"/>
    </row>
    <row r="60" spans="1:76" ht="16.5">
      <c r="A60" s="18">
        <v>19</v>
      </c>
      <c r="B60" s="4">
        <v>-0.7670354695833996</v>
      </c>
      <c r="C60" s="11">
        <v>231.74178888809186</v>
      </c>
      <c r="D60" s="4">
        <v>-0.5261554631417936</v>
      </c>
      <c r="E60" s="4">
        <f t="shared" si="31"/>
        <v>0.9301521289514859</v>
      </c>
      <c r="F60" s="83">
        <f t="shared" si="32"/>
        <v>1.4462134708148</v>
      </c>
      <c r="G60" s="86">
        <f t="shared" si="33"/>
        <v>436.9395029707129</v>
      </c>
      <c r="H60" s="88">
        <f t="shared" si="34"/>
        <v>0.9920442387778339</v>
      </c>
      <c r="I60" s="88">
        <f t="shared" si="35"/>
        <v>1.7537631467386017</v>
      </c>
      <c r="J60" s="57">
        <f t="shared" si="36"/>
        <v>0.4385279558002886</v>
      </c>
      <c r="K60" s="11">
        <f t="shared" si="37"/>
        <v>123.75103818943977</v>
      </c>
      <c r="L60" s="11">
        <f t="shared" si="38"/>
        <v>6356.630337759381</v>
      </c>
      <c r="M60" s="15">
        <f t="shared" si="39"/>
        <v>14.079576598058578</v>
      </c>
      <c r="N60" s="11">
        <f t="shared" si="40"/>
        <v>3609.143564275063</v>
      </c>
      <c r="O60" s="11">
        <f t="shared" si="41"/>
        <v>10904.961370988794</v>
      </c>
      <c r="P60" s="11">
        <f t="shared" si="42"/>
        <v>7.543290981707015</v>
      </c>
      <c r="Q60" s="121">
        <f t="shared" si="43"/>
        <v>21016.10917879244</v>
      </c>
      <c r="R60" s="90">
        <f t="shared" si="59"/>
        <v>0.16579327760971896</v>
      </c>
      <c r="S60" s="28"/>
      <c r="T60" s="79">
        <f t="shared" si="44"/>
        <v>0.8250271980648948</v>
      </c>
      <c r="U60" s="80">
        <f t="shared" si="45"/>
        <v>0.6255268933993499</v>
      </c>
      <c r="V60" s="80">
        <f t="shared" si="46"/>
        <v>0.4385279558002886</v>
      </c>
      <c r="W60" s="80">
        <f t="shared" si="47"/>
        <v>0.28937605032971503</v>
      </c>
      <c r="X60" s="81">
        <f t="shared" si="48"/>
        <v>0.2560841381733343</v>
      </c>
      <c r="Y60" s="165">
        <f t="shared" si="49"/>
        <v>15515.033227702419</v>
      </c>
      <c r="Z60" s="165">
        <f t="shared" si="50"/>
        <v>13143.335880470846</v>
      </c>
      <c r="AA60" s="165">
        <f t="shared" si="51"/>
        <v>10527.960432447373</v>
      </c>
      <c r="AB60" s="165">
        <f t="shared" si="52"/>
        <v>7993.5713827396</v>
      </c>
      <c r="AC60" s="165">
        <f t="shared" si="53"/>
        <v>7344.905931583728</v>
      </c>
      <c r="AD60" s="72">
        <f t="shared" si="54"/>
        <v>15.285876573435917</v>
      </c>
      <c r="AE60" s="73">
        <f t="shared" si="55"/>
        <v>10.03958908248668</v>
      </c>
      <c r="AF60" s="73">
        <f t="shared" si="56"/>
        <v>6.019749603483363</v>
      </c>
      <c r="AG60" s="73">
        <f t="shared" si="57"/>
        <v>3.436230286415999</v>
      </c>
      <c r="AH60" s="74">
        <f t="shared" si="58"/>
        <v>2.9350093627131195</v>
      </c>
      <c r="AI60" s="28"/>
      <c r="BX60"/>
    </row>
    <row r="61" spans="1:76" ht="16.5">
      <c r="A61" s="18">
        <v>20</v>
      </c>
      <c r="B61" s="4">
        <v>-0.7645686420397677</v>
      </c>
      <c r="C61" s="11">
        <v>234.49299316708385</v>
      </c>
      <c r="D61" s="4">
        <v>-0.5768430116951416</v>
      </c>
      <c r="E61" s="4">
        <f t="shared" si="31"/>
        <v>0.9577646206307977</v>
      </c>
      <c r="F61" s="83">
        <f t="shared" si="32"/>
        <v>1.4415623700961917</v>
      </c>
      <c r="G61" s="86">
        <f t="shared" si="33"/>
        <v>442.12678419436025</v>
      </c>
      <c r="H61" s="88">
        <f t="shared" si="34"/>
        <v>1.0876135030782779</v>
      </c>
      <c r="I61" s="88">
        <f t="shared" si="35"/>
        <v>1.8058253511775586</v>
      </c>
      <c r="J61" s="57">
        <f t="shared" si="36"/>
        <v>0.45154609461198036</v>
      </c>
      <c r="K61" s="11">
        <f t="shared" si="37"/>
        <v>122.9563380868742</v>
      </c>
      <c r="L61" s="11">
        <f t="shared" si="38"/>
        <v>6340.063160169999</v>
      </c>
      <c r="M61" s="15">
        <f t="shared" si="39"/>
        <v>16.92297441840688</v>
      </c>
      <c r="N61" s="11">
        <f t="shared" si="40"/>
        <v>3812.331811840867</v>
      </c>
      <c r="O61" s="11">
        <f t="shared" si="41"/>
        <v>11165.341347863901</v>
      </c>
      <c r="P61" s="11">
        <f t="shared" si="42"/>
        <v>7.844761146681664</v>
      </c>
      <c r="Q61" s="121">
        <f t="shared" si="43"/>
        <v>21465.460393526726</v>
      </c>
      <c r="R61" s="90">
        <f t="shared" si="59"/>
        <v>0.1693381493105133</v>
      </c>
      <c r="S61" s="28"/>
      <c r="T61" s="79">
        <f t="shared" si="44"/>
        <v>0.8361973814206896</v>
      </c>
      <c r="U61" s="80">
        <f t="shared" si="45"/>
        <v>0.6366127928087137</v>
      </c>
      <c r="V61" s="80">
        <f t="shared" si="46"/>
        <v>0.45154609461198036</v>
      </c>
      <c r="W61" s="80">
        <f t="shared" si="47"/>
        <v>0.3083506826158841</v>
      </c>
      <c r="X61" s="81">
        <f t="shared" si="48"/>
        <v>0.2807750909513892</v>
      </c>
      <c r="Y61" s="165">
        <f t="shared" si="49"/>
        <v>15638.442123007606</v>
      </c>
      <c r="Z61" s="165">
        <f t="shared" si="50"/>
        <v>13284.682218673264</v>
      </c>
      <c r="AA61" s="165">
        <f t="shared" si="51"/>
        <v>10726.770789290083</v>
      </c>
      <c r="AB61" s="165">
        <f t="shared" si="52"/>
        <v>8347.247323943862</v>
      </c>
      <c r="AC61" s="165">
        <f t="shared" si="53"/>
        <v>7829.564284404688</v>
      </c>
      <c r="AD61" s="72">
        <f t="shared" si="54"/>
        <v>15.608848941924167</v>
      </c>
      <c r="AE61" s="73">
        <f t="shared" si="55"/>
        <v>10.305173102658442</v>
      </c>
      <c r="AF61" s="73">
        <f t="shared" si="56"/>
        <v>6.271463714095537</v>
      </c>
      <c r="AG61" s="73">
        <f t="shared" si="57"/>
        <v>3.7342177321829624</v>
      </c>
      <c r="AH61" s="74">
        <f t="shared" si="58"/>
        <v>3.304102242547206</v>
      </c>
      <c r="AI61" s="28"/>
      <c r="BX61"/>
    </row>
    <row r="62" spans="1:76" ht="16.5">
      <c r="A62" s="18">
        <v>21</v>
      </c>
      <c r="B62" s="4">
        <v>-0.7616067160810989</v>
      </c>
      <c r="C62" s="11">
        <v>236.30574107714503</v>
      </c>
      <c r="D62" s="4">
        <v>-0.62632377474028</v>
      </c>
      <c r="E62" s="4">
        <f t="shared" si="31"/>
        <v>0.986066052952209</v>
      </c>
      <c r="F62" s="83">
        <f t="shared" si="32"/>
        <v>1.4359777819110986</v>
      </c>
      <c r="G62" s="86">
        <f t="shared" si="33"/>
        <v>445.5446449722272</v>
      </c>
      <c r="H62" s="88">
        <f t="shared" si="34"/>
        <v>1.180907423502767</v>
      </c>
      <c r="I62" s="88">
        <f t="shared" si="35"/>
        <v>1.859186524538692</v>
      </c>
      <c r="J62" s="57">
        <f t="shared" si="36"/>
        <v>0.4648890402182211</v>
      </c>
      <c r="K62" s="11">
        <f t="shared" si="37"/>
        <v>122.00552184529474</v>
      </c>
      <c r="L62" s="11">
        <f t="shared" si="38"/>
        <v>6310.089678079199</v>
      </c>
      <c r="M62" s="15">
        <f t="shared" si="39"/>
        <v>19.950749773185954</v>
      </c>
      <c r="N62" s="11">
        <f t="shared" si="40"/>
        <v>4025.609182012267</v>
      </c>
      <c r="O62" s="11">
        <f t="shared" si="41"/>
        <v>11413.16119970475</v>
      </c>
      <c r="P62" s="11">
        <f t="shared" si="42"/>
        <v>8.141612678098674</v>
      </c>
      <c r="Q62" s="121">
        <f t="shared" si="43"/>
        <v>21898.957944092792</v>
      </c>
      <c r="R62" s="90">
        <f t="shared" si="59"/>
        <v>0.17275795357269608</v>
      </c>
      <c r="S62" s="28"/>
      <c r="T62" s="79">
        <f t="shared" si="44"/>
        <v>0.8458808714299396</v>
      </c>
      <c r="U62" s="80">
        <f t="shared" si="45"/>
        <v>0.6471596783968957</v>
      </c>
      <c r="V62" s="80">
        <f t="shared" si="46"/>
        <v>0.4648890402182211</v>
      </c>
      <c r="W62" s="80">
        <f t="shared" si="47"/>
        <v>0.32776967487522424</v>
      </c>
      <c r="X62" s="81">
        <f t="shared" si="48"/>
        <v>0.3045473189853223</v>
      </c>
      <c r="Y62" s="165">
        <f t="shared" si="49"/>
        <v>15744.730267077184</v>
      </c>
      <c r="Z62" s="165">
        <f t="shared" si="50"/>
        <v>13417.972197491927</v>
      </c>
      <c r="AA62" s="165">
        <f t="shared" si="51"/>
        <v>10927.518558999749</v>
      </c>
      <c r="AB62" s="165">
        <f t="shared" si="52"/>
        <v>8698.36310973971</v>
      </c>
      <c r="AC62" s="165">
        <f t="shared" si="53"/>
        <v>8277.22186521518</v>
      </c>
      <c r="AD62" s="72">
        <f t="shared" si="54"/>
        <v>15.8913435361875</v>
      </c>
      <c r="AE62" s="73">
        <f t="shared" si="55"/>
        <v>10.560677875398955</v>
      </c>
      <c r="AF62" s="73">
        <f t="shared" si="56"/>
        <v>6.533826925326434</v>
      </c>
      <c r="AG62" s="73">
        <f t="shared" si="57"/>
        <v>4.0484440035790605</v>
      </c>
      <c r="AH62" s="74">
        <f t="shared" si="58"/>
        <v>3.6737710500014127</v>
      </c>
      <c r="AI62" s="28"/>
      <c r="BX62"/>
    </row>
    <row r="63" spans="1:76" ht="16.5">
      <c r="A63" s="18">
        <v>22</v>
      </c>
      <c r="B63" s="4">
        <v>-0.7579205845403099</v>
      </c>
      <c r="C63" s="11">
        <v>237.4021344915991</v>
      </c>
      <c r="D63" s="4">
        <v>-0.6748782498644672</v>
      </c>
      <c r="E63" s="4">
        <f t="shared" si="31"/>
        <v>1.0148419899718633</v>
      </c>
      <c r="F63" s="83">
        <f t="shared" si="32"/>
        <v>1.4290277342263678</v>
      </c>
      <c r="G63" s="86">
        <f t="shared" si="33"/>
        <v>447.6118491474883</v>
      </c>
      <c r="H63" s="88">
        <f t="shared" si="34"/>
        <v>1.2724548665839586</v>
      </c>
      <c r="I63" s="88">
        <f t="shared" si="35"/>
        <v>1.9134423567699517</v>
      </c>
      <c r="J63" s="57">
        <f t="shared" si="36"/>
        <v>0.4784556950101546</v>
      </c>
      <c r="K63" s="11">
        <f t="shared" si="37"/>
        <v>120.82738078300098</v>
      </c>
      <c r="L63" s="11">
        <f t="shared" si="38"/>
        <v>6264.931273137203</v>
      </c>
      <c r="M63" s="15">
        <f t="shared" si="39"/>
        <v>23.16393247872451</v>
      </c>
      <c r="N63" s="11">
        <f t="shared" si="40"/>
        <v>4247.618571534095</v>
      </c>
      <c r="O63" s="11">
        <f t="shared" si="41"/>
        <v>11650.205454968705</v>
      </c>
      <c r="P63" s="11">
        <f t="shared" si="42"/>
        <v>8.4355934820334</v>
      </c>
      <c r="Q63" s="121">
        <f t="shared" si="43"/>
        <v>22315.182206383764</v>
      </c>
      <c r="R63" s="90">
        <f t="shared" si="59"/>
        <v>0.17604149117134654</v>
      </c>
      <c r="S63" s="28"/>
      <c r="T63" s="79">
        <f t="shared" si="44"/>
        <v>0.8543955876896727</v>
      </c>
      <c r="U63" s="80">
        <f t="shared" si="45"/>
        <v>0.6572793792586106</v>
      </c>
      <c r="V63" s="80">
        <f t="shared" si="46"/>
        <v>0.4784556950101546</v>
      </c>
      <c r="W63" s="80">
        <f t="shared" si="47"/>
        <v>0.3474231272249711</v>
      </c>
      <c r="X63" s="81">
        <f t="shared" si="48"/>
        <v>0.32766616262282794</v>
      </c>
      <c r="Y63" s="165">
        <f t="shared" si="49"/>
        <v>15837.665141952399</v>
      </c>
      <c r="Z63" s="165">
        <f t="shared" si="50"/>
        <v>13544.804782629642</v>
      </c>
      <c r="AA63" s="165">
        <f t="shared" si="51"/>
        <v>11128.622911637578</v>
      </c>
      <c r="AB63" s="165">
        <f t="shared" si="52"/>
        <v>9043.415393952891</v>
      </c>
      <c r="AC63" s="165">
        <f t="shared" si="53"/>
        <v>8696.519044671013</v>
      </c>
      <c r="AD63" s="72">
        <f t="shared" si="54"/>
        <v>16.14166632125732</v>
      </c>
      <c r="AE63" s="73">
        <f t="shared" si="55"/>
        <v>10.808431475152554</v>
      </c>
      <c r="AF63" s="73">
        <f t="shared" si="56"/>
        <v>6.805123371762681</v>
      </c>
      <c r="AG63" s="73">
        <f t="shared" si="57"/>
        <v>4.376002044054992</v>
      </c>
      <c r="AH63" s="74">
        <f t="shared" si="58"/>
        <v>4.0467441979394545</v>
      </c>
      <c r="AI63" s="28"/>
      <c r="BX63"/>
    </row>
    <row r="64" spans="1:76" ht="16.5">
      <c r="A64" s="18">
        <v>23</v>
      </c>
      <c r="B64" s="4">
        <v>-0.7536309780371777</v>
      </c>
      <c r="C64" s="11">
        <v>237.89539745988625</v>
      </c>
      <c r="D64" s="4">
        <v>-0.7229495947682708</v>
      </c>
      <c r="E64" s="4">
        <f t="shared" si="31"/>
        <v>1.044325508466053</v>
      </c>
      <c r="F64" s="83">
        <f t="shared" si="32"/>
        <v>1.420939859603446</v>
      </c>
      <c r="G64" s="86">
        <f t="shared" si="33"/>
        <v>448.5418759554772</v>
      </c>
      <c r="H64" s="88">
        <f t="shared" si="34"/>
        <v>1.3630913877318327</v>
      </c>
      <c r="I64" s="88">
        <f t="shared" si="35"/>
        <v>1.969032304437526</v>
      </c>
      <c r="J64" s="57">
        <f t="shared" si="36"/>
        <v>0.4923559449720954</v>
      </c>
      <c r="K64" s="11">
        <f t="shared" si="37"/>
        <v>119.46355662762349</v>
      </c>
      <c r="L64" s="11">
        <f t="shared" si="38"/>
        <v>6207.189985036495</v>
      </c>
      <c r="M64" s="15">
        <f t="shared" si="39"/>
        <v>26.581376321010897</v>
      </c>
      <c r="N64" s="11">
        <f t="shared" si="40"/>
        <v>4480.423120535682</v>
      </c>
      <c r="O64" s="11">
        <f t="shared" si="41"/>
        <v>11879.780456363453</v>
      </c>
      <c r="P64" s="11">
        <f t="shared" si="42"/>
        <v>8.73088640525732</v>
      </c>
      <c r="Q64" s="121">
        <f t="shared" si="43"/>
        <v>22722.16938128952</v>
      </c>
      <c r="R64" s="90">
        <f t="shared" si="59"/>
        <v>0.1792521586216677</v>
      </c>
      <c r="S64" s="28"/>
      <c r="T64" s="79">
        <f t="shared" si="44"/>
        <v>0.8620655060428509</v>
      </c>
      <c r="U64" s="80">
        <f t="shared" si="45"/>
        <v>0.6671946210050291</v>
      </c>
      <c r="V64" s="80">
        <f t="shared" si="46"/>
        <v>0.4923559449720954</v>
      </c>
      <c r="W64" s="80">
        <f t="shared" si="47"/>
        <v>0.36736096616662844</v>
      </c>
      <c r="X64" s="81">
        <f t="shared" si="48"/>
        <v>0.35038232124150537</v>
      </c>
      <c r="Y64" s="165">
        <f t="shared" si="49"/>
        <v>15920.965502220542</v>
      </c>
      <c r="Z64" s="165">
        <f t="shared" si="50"/>
        <v>13668.092536399614</v>
      </c>
      <c r="AA64" s="165">
        <f t="shared" si="51"/>
        <v>11331.653810947373</v>
      </c>
      <c r="AB64" s="165">
        <f t="shared" si="52"/>
        <v>9383.669256788336</v>
      </c>
      <c r="AC64" s="165">
        <f t="shared" si="53"/>
        <v>9094.521175461403</v>
      </c>
      <c r="AD64" s="72">
        <f t="shared" si="54"/>
        <v>16.368694855755447</v>
      </c>
      <c r="AE64" s="73">
        <f t="shared" si="55"/>
        <v>11.053646811762913</v>
      </c>
      <c r="AF64" s="73">
        <f t="shared" si="56"/>
        <v>7.08783296412067</v>
      </c>
      <c r="AG64" s="73">
        <f t="shared" si="57"/>
        <v>4.718104248180766</v>
      </c>
      <c r="AH64" s="74">
        <f t="shared" si="58"/>
        <v>4.426153146466804</v>
      </c>
      <c r="AI64" s="28"/>
      <c r="BX64"/>
    </row>
    <row r="65" spans="1:76" ht="16.5">
      <c r="A65" s="18">
        <v>24</v>
      </c>
      <c r="B65" s="4">
        <v>-0.7488749448917655</v>
      </c>
      <c r="C65" s="11">
        <v>237.88242897712766</v>
      </c>
      <c r="D65" s="4">
        <v>-0.770882918956559</v>
      </c>
      <c r="E65" s="4">
        <f t="shared" si="31"/>
        <v>1.074743763799367</v>
      </c>
      <c r="F65" s="83">
        <f t="shared" si="32"/>
        <v>1.4119725569488861</v>
      </c>
      <c r="G65" s="86">
        <f t="shared" si="33"/>
        <v>448.5174244206979</v>
      </c>
      <c r="H65" s="88">
        <f t="shared" si="34"/>
        <v>1.4534676765619776</v>
      </c>
      <c r="I65" s="88">
        <f t="shared" si="35"/>
        <v>2.0263846595321557</v>
      </c>
      <c r="J65" s="57">
        <f t="shared" si="36"/>
        <v>0.5066968843895713</v>
      </c>
      <c r="K65" s="11">
        <f t="shared" si="37"/>
        <v>117.96048726745121</v>
      </c>
      <c r="L65" s="11">
        <f t="shared" si="38"/>
        <v>6139.61108993253</v>
      </c>
      <c r="M65" s="15">
        <f t="shared" si="39"/>
        <v>30.223048790158888</v>
      </c>
      <c r="N65" s="11">
        <f t="shared" si="40"/>
        <v>4726.208888409799</v>
      </c>
      <c r="O65" s="11">
        <f t="shared" si="41"/>
        <v>12104.655745102471</v>
      </c>
      <c r="P65" s="11">
        <f t="shared" si="42"/>
        <v>9.03154500953918</v>
      </c>
      <c r="Q65" s="121">
        <f t="shared" si="43"/>
        <v>23127.690804511953</v>
      </c>
      <c r="R65" s="90">
        <f t="shared" si="59"/>
        <v>0.18245126295278008</v>
      </c>
      <c r="S65" s="28"/>
      <c r="T65" s="79">
        <f t="shared" si="44"/>
        <v>0.8691887780029532</v>
      </c>
      <c r="U65" s="80">
        <f t="shared" si="45"/>
        <v>0.6771141938129004</v>
      </c>
      <c r="V65" s="80">
        <f t="shared" si="46"/>
        <v>0.5066968843895713</v>
      </c>
      <c r="W65" s="80">
        <f t="shared" si="47"/>
        <v>0.3876382790281174</v>
      </c>
      <c r="X65" s="81">
        <f t="shared" si="48"/>
        <v>0.37289239683351055</v>
      </c>
      <c r="Y65" s="165">
        <f t="shared" si="49"/>
        <v>15997.982339543481</v>
      </c>
      <c r="Z65" s="165">
        <f t="shared" si="50"/>
        <v>13790.483005506496</v>
      </c>
      <c r="AA65" s="165">
        <f t="shared" si="51"/>
        <v>11538.050356968712</v>
      </c>
      <c r="AB65" s="165">
        <f t="shared" si="52"/>
        <v>9720.344532182931</v>
      </c>
      <c r="AC65" s="165">
        <f t="shared" si="53"/>
        <v>9476.418491310735</v>
      </c>
      <c r="AD65" s="72">
        <f t="shared" si="54"/>
        <v>16.580851563296644</v>
      </c>
      <c r="AE65" s="73">
        <f t="shared" si="55"/>
        <v>11.30141304830967</v>
      </c>
      <c r="AF65" s="73">
        <f t="shared" si="56"/>
        <v>7.384535903768396</v>
      </c>
      <c r="AG65" s="73">
        <f t="shared" si="57"/>
        <v>5.076159733494666</v>
      </c>
      <c r="AH65" s="74">
        <f t="shared" si="58"/>
        <v>4.814764798826521</v>
      </c>
      <c r="AI65" s="28"/>
      <c r="BX65"/>
    </row>
    <row r="66" spans="1:76" ht="16.5">
      <c r="A66" s="18">
        <v>25</v>
      </c>
      <c r="B66" s="4">
        <v>-0.7435059454395301</v>
      </c>
      <c r="C66" s="11">
        <v>237.38808390302393</v>
      </c>
      <c r="D66" s="4">
        <v>-0.8189315282179058</v>
      </c>
      <c r="E66" s="4">
        <f t="shared" si="31"/>
        <v>1.1060967131373476</v>
      </c>
      <c r="F66" s="83">
        <f t="shared" si="32"/>
        <v>1.401849531820938</v>
      </c>
      <c r="G66" s="86">
        <f t="shared" si="33"/>
        <v>447.5853573472051</v>
      </c>
      <c r="H66" s="88">
        <f t="shared" si="34"/>
        <v>1.5440613306017548</v>
      </c>
      <c r="I66" s="88">
        <f t="shared" si="35"/>
        <v>2.0854993412912513</v>
      </c>
      <c r="J66" s="57">
        <f t="shared" si="36"/>
        <v>0.5214784930679208</v>
      </c>
      <c r="K66" s="11">
        <f t="shared" si="37"/>
        <v>116.27513381290215</v>
      </c>
      <c r="L66" s="11">
        <f t="shared" si="38"/>
        <v>6060.438590556683</v>
      </c>
      <c r="M66" s="15">
        <f t="shared" si="39"/>
        <v>34.10802789859073</v>
      </c>
      <c r="N66" s="11">
        <f t="shared" si="40"/>
        <v>4985.435510011754</v>
      </c>
      <c r="O66" s="11">
        <f t="shared" si="41"/>
        <v>12325.863014631144</v>
      </c>
      <c r="P66" s="11">
        <f t="shared" si="42"/>
        <v>9.3386995066039</v>
      </c>
      <c r="Q66" s="121">
        <f t="shared" si="43"/>
        <v>23531.458976417678</v>
      </c>
      <c r="R66" s="90">
        <f t="shared" si="59"/>
        <v>0.1856365361184851</v>
      </c>
      <c r="S66" s="28"/>
      <c r="T66" s="79">
        <f t="shared" si="44"/>
        <v>0.8758141848584615</v>
      </c>
      <c r="U66" s="80">
        <f t="shared" si="45"/>
        <v>0.6870670375092747</v>
      </c>
      <c r="V66" s="80">
        <f t="shared" si="46"/>
        <v>0.5214784930679208</v>
      </c>
      <c r="W66" s="80">
        <f t="shared" si="47"/>
        <v>0.40827270359546103</v>
      </c>
      <c r="X66" s="81">
        <f t="shared" si="48"/>
        <v>0.39534979364866707</v>
      </c>
      <c r="Y66" s="165">
        <f t="shared" si="49"/>
        <v>16069.320343376501</v>
      </c>
      <c r="Z66" s="165">
        <f t="shared" si="50"/>
        <v>13912.348823399989</v>
      </c>
      <c r="AA66" s="165">
        <f t="shared" si="51"/>
        <v>11747.658601059087</v>
      </c>
      <c r="AB66" s="165">
        <f t="shared" si="52"/>
        <v>10053.942331309818</v>
      </c>
      <c r="AC66" s="165">
        <f t="shared" si="53"/>
        <v>9846.044974010332</v>
      </c>
      <c r="AD66" s="72">
        <f t="shared" si="54"/>
        <v>16.779311453256987</v>
      </c>
      <c r="AE66" s="73">
        <f t="shared" si="55"/>
        <v>11.552466941619636</v>
      </c>
      <c r="AF66" s="73">
        <f t="shared" si="56"/>
        <v>7.695702743426343</v>
      </c>
      <c r="AG66" s="73">
        <f t="shared" si="57"/>
        <v>5.451006417878513</v>
      </c>
      <c r="AH66" s="74">
        <f t="shared" si="58"/>
        <v>5.215009976838027</v>
      </c>
      <c r="AI66" s="28"/>
      <c r="BX66"/>
    </row>
    <row r="67" spans="1:76" ht="16.5">
      <c r="A67" s="18">
        <v>26</v>
      </c>
      <c r="B67" s="4">
        <v>-0.7379026729240881</v>
      </c>
      <c r="C67" s="11">
        <v>236.44602626135057</v>
      </c>
      <c r="D67" s="4">
        <v>-0.8674766866019769</v>
      </c>
      <c r="E67" s="4">
        <f t="shared" si="31"/>
        <v>1.1388661714646098</v>
      </c>
      <c r="F67" s="83">
        <f t="shared" si="32"/>
        <v>1.3912847945775877</v>
      </c>
      <c r="G67" s="86">
        <f t="shared" si="33"/>
        <v>445.80914685147405</v>
      </c>
      <c r="H67" s="88">
        <f t="shared" si="34"/>
        <v>1.6355912073570147</v>
      </c>
      <c r="I67" s="88">
        <f t="shared" si="35"/>
        <v>2.1472847918258022</v>
      </c>
      <c r="J67" s="57">
        <f t="shared" si="36"/>
        <v>0.5369279266881353</v>
      </c>
      <c r="K67" s="11">
        <f t="shared" si="37"/>
        <v>114.52917269280135</v>
      </c>
      <c r="L67" s="11">
        <f t="shared" si="38"/>
        <v>5975.394173629463</v>
      </c>
      <c r="M67" s="15">
        <f t="shared" si="39"/>
        <v>38.27163804406525</v>
      </c>
      <c r="N67" s="11">
        <f t="shared" si="40"/>
        <v>5262.691565044473</v>
      </c>
      <c r="O67" s="11">
        <f t="shared" si="41"/>
        <v>12546.686268061723</v>
      </c>
      <c r="P67" s="11">
        <f t="shared" si="42"/>
        <v>9.658171725421578</v>
      </c>
      <c r="Q67" s="121">
        <f t="shared" si="43"/>
        <v>23947.23098919795</v>
      </c>
      <c r="R67" s="90">
        <f t="shared" si="59"/>
        <v>0.18891650598116508</v>
      </c>
      <c r="S67" s="28"/>
      <c r="T67" s="79">
        <f t="shared" si="44"/>
        <v>0.882267097949111</v>
      </c>
      <c r="U67" s="80">
        <f t="shared" si="45"/>
        <v>0.6973414564813116</v>
      </c>
      <c r="V67" s="80">
        <f t="shared" si="46"/>
        <v>0.5369279266881353</v>
      </c>
      <c r="W67" s="80">
        <f t="shared" si="47"/>
        <v>0.42943533472919243</v>
      </c>
      <c r="X67" s="81">
        <f t="shared" si="48"/>
        <v>0.417916776041043</v>
      </c>
      <c r="Y67" s="165">
        <f t="shared" si="49"/>
        <v>16138.530044418105</v>
      </c>
      <c r="Z67" s="165">
        <f t="shared" si="50"/>
        <v>14037.191016402056</v>
      </c>
      <c r="AA67" s="165">
        <f t="shared" si="51"/>
        <v>11963.481142391685</v>
      </c>
      <c r="AB67" s="165">
        <f t="shared" si="52"/>
        <v>10387.305149031254</v>
      </c>
      <c r="AC67" s="165">
        <f t="shared" si="53"/>
        <v>10206.923988065517</v>
      </c>
      <c r="AD67" s="72">
        <f t="shared" si="54"/>
        <v>16.973652615595512</v>
      </c>
      <c r="AE67" s="73">
        <f t="shared" si="55"/>
        <v>11.814213648167984</v>
      </c>
      <c r="AF67" s="73">
        <f t="shared" si="56"/>
        <v>8.026728999005908</v>
      </c>
      <c r="AG67" s="73">
        <f t="shared" si="57"/>
        <v>5.846435005771965</v>
      </c>
      <c r="AH67" s="74">
        <f t="shared" si="58"/>
        <v>5.629828358566523</v>
      </c>
      <c r="AI67" s="28"/>
      <c r="BX67"/>
    </row>
    <row r="68" spans="1:76" ht="16.5">
      <c r="A68" s="18">
        <v>27</v>
      </c>
      <c r="B68" s="4">
        <v>-0.7316515309435765</v>
      </c>
      <c r="C68" s="11">
        <v>235.02302523518713</v>
      </c>
      <c r="D68" s="4">
        <v>-0.9167679179694548</v>
      </c>
      <c r="E68" s="4">
        <f t="shared" si="31"/>
        <v>1.17293536827488</v>
      </c>
      <c r="F68" s="83">
        <f t="shared" si="32"/>
        <v>1.3794985264078745</v>
      </c>
      <c r="G68" s="86">
        <f t="shared" si="33"/>
        <v>443.1261376105343</v>
      </c>
      <c r="H68" s="88">
        <f t="shared" si="34"/>
        <v>1.7285277736873998</v>
      </c>
      <c r="I68" s="88">
        <f t="shared" si="35"/>
        <v>2.2115208452036383</v>
      </c>
      <c r="J68" s="57">
        <f t="shared" si="36"/>
        <v>0.5529901328240356</v>
      </c>
      <c r="K68" s="11">
        <f t="shared" si="37"/>
        <v>112.5969244141826</v>
      </c>
      <c r="L68" s="11">
        <f t="shared" si="38"/>
        <v>5878.639832746761</v>
      </c>
      <c r="M68" s="15">
        <f t="shared" si="39"/>
        <v>42.744499912568216</v>
      </c>
      <c r="N68" s="11">
        <f t="shared" si="40"/>
        <v>5557.712818347495</v>
      </c>
      <c r="O68" s="11">
        <f t="shared" si="41"/>
        <v>12767.089055817873</v>
      </c>
      <c r="P68" s="11">
        <f t="shared" si="42"/>
        <v>9.98954133630607</v>
      </c>
      <c r="Q68" s="121">
        <f t="shared" si="43"/>
        <v>24368.772672575185</v>
      </c>
      <c r="R68" s="90">
        <f t="shared" si="59"/>
        <v>0.19224199200437034</v>
      </c>
      <c r="S68" s="28"/>
      <c r="T68" s="79">
        <f t="shared" si="44"/>
        <v>0.8884166845241732</v>
      </c>
      <c r="U68" s="80">
        <f t="shared" si="45"/>
        <v>0.7078471265498911</v>
      </c>
      <c r="V68" s="80">
        <f t="shared" si="46"/>
        <v>0.5529901328240356</v>
      </c>
      <c r="W68" s="80">
        <f t="shared" si="47"/>
        <v>0.4511494238590417</v>
      </c>
      <c r="X68" s="81">
        <f t="shared" si="48"/>
        <v>0.4407501576945147</v>
      </c>
      <c r="Y68" s="165">
        <f t="shared" si="49"/>
        <v>16204.24029998908</v>
      </c>
      <c r="Z68" s="165">
        <f t="shared" si="50"/>
        <v>14163.8557169389</v>
      </c>
      <c r="AA68" s="165">
        <f t="shared" si="51"/>
        <v>12184.483712495126</v>
      </c>
      <c r="AB68" s="165">
        <f t="shared" si="52"/>
        <v>10720.756570094165</v>
      </c>
      <c r="AC68" s="165">
        <f t="shared" si="53"/>
        <v>10562.108979572098</v>
      </c>
      <c r="AD68" s="72">
        <f t="shared" si="54"/>
        <v>17.15982114875444</v>
      </c>
      <c r="AE68" s="73">
        <f t="shared" si="55"/>
        <v>12.084563133367906</v>
      </c>
      <c r="AF68" s="73">
        <f t="shared" si="56"/>
        <v>8.377171423680034</v>
      </c>
      <c r="AG68" s="73">
        <f t="shared" si="57"/>
        <v>6.263731644694288</v>
      </c>
      <c r="AH68" s="74">
        <f t="shared" si="58"/>
        <v>6.062419331033681</v>
      </c>
      <c r="AI68" s="28"/>
      <c r="BX68"/>
    </row>
    <row r="69" spans="1:76" ht="16.5">
      <c r="A69" s="18">
        <v>28</v>
      </c>
      <c r="B69" s="4">
        <v>-0.725054795017682</v>
      </c>
      <c r="C69" s="11">
        <v>233.10995497958777</v>
      </c>
      <c r="D69" s="4">
        <v>-0.9671283960386144</v>
      </c>
      <c r="E69" s="4">
        <f t="shared" si="31"/>
        <v>1.208735616337318</v>
      </c>
      <c r="F69" s="83">
        <f t="shared" si="32"/>
        <v>1.3670606552301332</v>
      </c>
      <c r="G69" s="86">
        <f t="shared" si="33"/>
        <v>439.51912322335653</v>
      </c>
      <c r="H69" s="88">
        <f t="shared" si="34"/>
        <v>1.8234803601953606</v>
      </c>
      <c r="I69" s="88">
        <f t="shared" si="35"/>
        <v>2.279020723709296</v>
      </c>
      <c r="J69" s="57">
        <f t="shared" si="36"/>
        <v>0.5698684574671898</v>
      </c>
      <c r="K69" s="11">
        <f t="shared" si="37"/>
        <v>110.57567893306556</v>
      </c>
      <c r="L69" s="11">
        <f t="shared" si="38"/>
        <v>5774.541619080188</v>
      </c>
      <c r="M69" s="15">
        <f t="shared" si="39"/>
        <v>47.569621563636474</v>
      </c>
      <c r="N69" s="11">
        <f t="shared" si="40"/>
        <v>5875.070967031217</v>
      </c>
      <c r="O69" s="11">
        <f t="shared" si="41"/>
        <v>12989.59329648245</v>
      </c>
      <c r="P69" s="11">
        <f t="shared" si="42"/>
        <v>10.33803490693502</v>
      </c>
      <c r="Q69" s="121">
        <f t="shared" si="43"/>
        <v>24807.68921799749</v>
      </c>
      <c r="R69" s="90">
        <f t="shared" si="59"/>
        <v>0.19570454599300927</v>
      </c>
      <c r="S69" s="28"/>
      <c r="T69" s="79">
        <f t="shared" si="44"/>
        <v>0.8945046347294139</v>
      </c>
      <c r="U69" s="80">
        <f t="shared" si="45"/>
        <v>0.7188216307714446</v>
      </c>
      <c r="V69" s="80">
        <f t="shared" si="46"/>
        <v>0.5698684574671898</v>
      </c>
      <c r="W69" s="80">
        <f t="shared" si="47"/>
        <v>0.4735769287093157</v>
      </c>
      <c r="X69" s="81">
        <f t="shared" si="48"/>
        <v>0.46398241629835574</v>
      </c>
      <c r="Y69" s="165">
        <f t="shared" si="49"/>
        <v>16269.057792071344</v>
      </c>
      <c r="Z69" s="165">
        <f t="shared" si="50"/>
        <v>14295.130752462228</v>
      </c>
      <c r="AA69" s="165">
        <f t="shared" si="51"/>
        <v>12413.161061367175</v>
      </c>
      <c r="AB69" s="165">
        <f t="shared" si="52"/>
        <v>11056.644359141672</v>
      </c>
      <c r="AC69" s="165">
        <f t="shared" si="53"/>
        <v>10913.97251736983</v>
      </c>
      <c r="AD69" s="72">
        <f t="shared" si="54"/>
        <v>17.34504909614693</v>
      </c>
      <c r="AE69" s="73">
        <f t="shared" si="55"/>
        <v>12.369905403331602</v>
      </c>
      <c r="AF69" s="73">
        <f t="shared" si="56"/>
        <v>8.752325394387281</v>
      </c>
      <c r="AG69" s="73">
        <f t="shared" si="57"/>
        <v>6.707034763884672</v>
      </c>
      <c r="AH69" s="74">
        <f t="shared" si="58"/>
        <v>6.515859876924625</v>
      </c>
      <c r="AI69" s="28"/>
      <c r="BX69"/>
    </row>
    <row r="70" spans="1:76" ht="16.5">
      <c r="A70" s="18">
        <v>29</v>
      </c>
      <c r="B70" s="4">
        <v>-0.7179155992224899</v>
      </c>
      <c r="C70" s="11">
        <v>230.61392478009316</v>
      </c>
      <c r="D70" s="4">
        <v>-1.0189111298928748</v>
      </c>
      <c r="E70" s="4">
        <f t="shared" si="31"/>
        <v>1.246427975547148</v>
      </c>
      <c r="F70" s="83">
        <f t="shared" si="32"/>
        <v>1.3535999985340372</v>
      </c>
      <c r="G70" s="86">
        <f t="shared" si="33"/>
        <v>434.812962111889</v>
      </c>
      <c r="H70" s="88">
        <f t="shared" si="34"/>
        <v>1.9211145508232377</v>
      </c>
      <c r="I70" s="88">
        <f t="shared" si="35"/>
        <v>2.350088099075461</v>
      </c>
      <c r="J70" s="57">
        <f t="shared" si="36"/>
        <v>0.5876388336444818</v>
      </c>
      <c r="K70" s="11">
        <f t="shared" si="37"/>
        <v>108.40884978004279</v>
      </c>
      <c r="L70" s="11">
        <f t="shared" si="38"/>
        <v>5660.004087609196</v>
      </c>
      <c r="M70" s="15">
        <f t="shared" si="39"/>
        <v>52.800014170450815</v>
      </c>
      <c r="N70" s="11">
        <f t="shared" si="40"/>
        <v>6217.238685152949</v>
      </c>
      <c r="O70" s="11">
        <f t="shared" si="41"/>
        <v>13215.070385924273</v>
      </c>
      <c r="P70" s="11">
        <f t="shared" si="42"/>
        <v>10.705544336413647</v>
      </c>
      <c r="Q70" s="121">
        <f t="shared" si="43"/>
        <v>25264.227566973328</v>
      </c>
      <c r="R70" s="90">
        <f t="shared" si="59"/>
        <v>0.19930611603565135</v>
      </c>
      <c r="S70" s="28"/>
      <c r="T70" s="79">
        <f t="shared" si="44"/>
        <v>0.9004615671949012</v>
      </c>
      <c r="U70" s="80">
        <f t="shared" si="45"/>
        <v>0.730280581765335</v>
      </c>
      <c r="V70" s="80">
        <f t="shared" si="46"/>
        <v>0.5876388336444818</v>
      </c>
      <c r="W70" s="80">
        <f t="shared" si="47"/>
        <v>0.49685012438932774</v>
      </c>
      <c r="X70" s="81">
        <f t="shared" si="48"/>
        <v>0.4877824002559402</v>
      </c>
      <c r="Y70" s="165">
        <f t="shared" si="49"/>
        <v>16332.257129118492</v>
      </c>
      <c r="Z70" s="165">
        <f t="shared" si="50"/>
        <v>14431.09005584083</v>
      </c>
      <c r="AA70" s="165">
        <f t="shared" si="51"/>
        <v>12650.159756044179</v>
      </c>
      <c r="AB70" s="165">
        <f t="shared" si="52"/>
        <v>11396.664110325028</v>
      </c>
      <c r="AC70" s="165">
        <f t="shared" si="53"/>
        <v>11265.18087829283</v>
      </c>
      <c r="AD70" s="72">
        <f t="shared" si="54"/>
        <v>17.527181968933473</v>
      </c>
      <c r="AE70" s="73">
        <f t="shared" si="55"/>
        <v>12.671036403145852</v>
      </c>
      <c r="AF70" s="73">
        <f t="shared" si="56"/>
        <v>9.154954579345738</v>
      </c>
      <c r="AG70" s="73">
        <f t="shared" si="57"/>
        <v>7.180264408823396</v>
      </c>
      <c r="AH70" s="74">
        <f t="shared" si="58"/>
        <v>6.9942843218197694</v>
      </c>
      <c r="AI70" s="28"/>
      <c r="BX70"/>
    </row>
    <row r="71" spans="1:76" ht="16.5">
      <c r="A71" s="18">
        <v>30</v>
      </c>
      <c r="B71" s="4">
        <v>-0.7102502150156997</v>
      </c>
      <c r="C71" s="11">
        <v>227.50587821073148</v>
      </c>
      <c r="D71" s="4">
        <v>-1.072381236051545</v>
      </c>
      <c r="E71" s="4">
        <f t="shared" si="31"/>
        <v>1.2862569274314084</v>
      </c>
      <c r="F71" s="83">
        <f t="shared" si="32"/>
        <v>1.339147235476219</v>
      </c>
      <c r="G71" s="86">
        <f t="shared" si="33"/>
        <v>428.95286959364876</v>
      </c>
      <c r="H71" s="88">
        <f t="shared" si="34"/>
        <v>2.0219302117398916</v>
      </c>
      <c r="I71" s="88">
        <f t="shared" si="35"/>
        <v>2.4251839310514414</v>
      </c>
      <c r="J71" s="57">
        <f t="shared" si="36"/>
        <v>0.6064165242048006</v>
      </c>
      <c r="K71" s="11">
        <f t="shared" si="37"/>
        <v>106.10618606552913</v>
      </c>
      <c r="L71" s="11">
        <f t="shared" si="38"/>
        <v>5535.398039506599</v>
      </c>
      <c r="M71" s="15">
        <f t="shared" si="39"/>
        <v>58.4870665090556</v>
      </c>
      <c r="N71" s="11">
        <f t="shared" si="40"/>
        <v>6587.645407012686</v>
      </c>
      <c r="O71" s="11">
        <f t="shared" si="41"/>
        <v>13444.922093260884</v>
      </c>
      <c r="P71" s="11">
        <f t="shared" si="42"/>
        <v>11.095914307141399</v>
      </c>
      <c r="Q71" s="121">
        <f t="shared" si="43"/>
        <v>25743.654706661895</v>
      </c>
      <c r="R71" s="90">
        <f t="shared" si="59"/>
        <v>0.2030882526903386</v>
      </c>
      <c r="S71" s="28"/>
      <c r="T71" s="79">
        <f t="shared" si="44"/>
        <v>0.9064109356304038</v>
      </c>
      <c r="U71" s="80">
        <f t="shared" si="45"/>
        <v>0.7423569939623462</v>
      </c>
      <c r="V71" s="80">
        <f t="shared" si="46"/>
        <v>0.6064165242048006</v>
      </c>
      <c r="W71" s="80">
        <f t="shared" si="47"/>
        <v>0.5210777938675244</v>
      </c>
      <c r="X71" s="81">
        <f t="shared" si="48"/>
        <v>0.5122861561514761</v>
      </c>
      <c r="Y71" s="165">
        <f t="shared" si="49"/>
        <v>16395.158028331414</v>
      </c>
      <c r="Z71" s="165">
        <f t="shared" si="50"/>
        <v>14573.176527188527</v>
      </c>
      <c r="AA71" s="165">
        <f t="shared" si="51"/>
        <v>12896.583950375287</v>
      </c>
      <c r="AB71" s="165">
        <f t="shared" si="52"/>
        <v>11742.017315746478</v>
      </c>
      <c r="AC71" s="165">
        <f t="shared" si="53"/>
        <v>11617.674644662722</v>
      </c>
      <c r="AD71" s="72">
        <f t="shared" si="54"/>
        <v>17.70996338437125</v>
      </c>
      <c r="AE71" s="73">
        <f t="shared" si="55"/>
        <v>12.991923947469086</v>
      </c>
      <c r="AF71" s="73">
        <f t="shared" si="56"/>
        <v>9.588930921910423</v>
      </c>
      <c r="AG71" s="73">
        <f t="shared" si="57"/>
        <v>7.68719607370252</v>
      </c>
      <c r="AH71" s="74">
        <f t="shared" si="58"/>
        <v>7.501557208253716</v>
      </c>
      <c r="AI71" s="28"/>
      <c r="BX71"/>
    </row>
    <row r="72" spans="1:76" ht="16.5">
      <c r="A72" s="18">
        <v>31</v>
      </c>
      <c r="B72" s="4">
        <v>-0.7022009474414048</v>
      </c>
      <c r="C72" s="11">
        <v>223.56423801738163</v>
      </c>
      <c r="D72" s="4">
        <v>-1.1280864983109464</v>
      </c>
      <c r="E72" s="4">
        <f t="shared" si="31"/>
        <v>1.3287833977962924</v>
      </c>
      <c r="F72" s="83">
        <f t="shared" si="32"/>
        <v>1.323970676297723</v>
      </c>
      <c r="G72" s="86">
        <f t="shared" si="33"/>
        <v>421.52107097314473</v>
      </c>
      <c r="H72" s="88">
        <f t="shared" si="34"/>
        <v>2.1269601665066156</v>
      </c>
      <c r="I72" s="88">
        <f t="shared" si="35"/>
        <v>2.505365821911463</v>
      </c>
      <c r="J72" s="57">
        <f t="shared" si="36"/>
        <v>0.6264659822838101</v>
      </c>
      <c r="K72" s="11">
        <f t="shared" si="37"/>
        <v>103.71481064303724</v>
      </c>
      <c r="L72" s="11">
        <f t="shared" si="38"/>
        <v>5401.532250465408</v>
      </c>
      <c r="M72" s="15">
        <f t="shared" si="39"/>
        <v>64.7211505801498</v>
      </c>
      <c r="N72" s="11">
        <f t="shared" si="40"/>
        <v>6993.0355748512075</v>
      </c>
      <c r="O72" s="11">
        <f t="shared" si="41"/>
        <v>13681.317682425113</v>
      </c>
      <c r="P72" s="11">
        <f t="shared" si="42"/>
        <v>11.514341916538136</v>
      </c>
      <c r="Q72" s="121">
        <f t="shared" si="43"/>
        <v>26255.835810881454</v>
      </c>
      <c r="R72" s="90">
        <f t="shared" si="59"/>
        <v>0.20712878099535975</v>
      </c>
      <c r="S72" s="28"/>
      <c r="T72" s="79">
        <f t="shared" si="44"/>
        <v>0.9123354542367011</v>
      </c>
      <c r="U72" s="80">
        <f t="shared" si="45"/>
        <v>0.7552068426008562</v>
      </c>
      <c r="V72" s="80">
        <f t="shared" si="46"/>
        <v>0.6264659822838101</v>
      </c>
      <c r="W72" s="80">
        <f t="shared" si="47"/>
        <v>0.5465553371803094</v>
      </c>
      <c r="X72" s="81">
        <f t="shared" si="48"/>
        <v>0.5377050344152844</v>
      </c>
      <c r="Y72" s="165">
        <f t="shared" si="49"/>
        <v>16457.58163301323</v>
      </c>
      <c r="Z72" s="165">
        <f t="shared" si="50"/>
        <v>14723.044905516936</v>
      </c>
      <c r="AA72" s="165">
        <f t="shared" si="51"/>
        <v>13155.359612053751</v>
      </c>
      <c r="AB72" s="165">
        <f t="shared" si="52"/>
        <v>12096.350615669762</v>
      </c>
      <c r="AC72" s="165">
        <f t="shared" si="53"/>
        <v>11974.25164587188</v>
      </c>
      <c r="AD72" s="72">
        <f t="shared" si="54"/>
        <v>17.892855095169203</v>
      </c>
      <c r="AE72" s="73">
        <f t="shared" si="55"/>
        <v>13.33734110421791</v>
      </c>
      <c r="AF72" s="73">
        <f t="shared" si="56"/>
        <v>10.061968408200885</v>
      </c>
      <c r="AG72" s="73">
        <f t="shared" si="57"/>
        <v>8.236008708538815</v>
      </c>
      <c r="AH72" s="74">
        <f t="shared" si="58"/>
        <v>8.043536266563871</v>
      </c>
      <c r="AI72" s="28"/>
      <c r="BX72"/>
    </row>
    <row r="73" spans="1:76" ht="16.5">
      <c r="A73" s="18">
        <v>32</v>
      </c>
      <c r="B73" s="4">
        <v>-0.6934456903989243</v>
      </c>
      <c r="C73" s="11">
        <v>218.6426703280376</v>
      </c>
      <c r="D73" s="4">
        <v>-1.1866289424589562</v>
      </c>
      <c r="E73" s="4">
        <f t="shared" si="31"/>
        <v>1.374392655908093</v>
      </c>
      <c r="F73" s="83">
        <f t="shared" si="32"/>
        <v>1.3074630033446604</v>
      </c>
      <c r="G73" s="86">
        <f t="shared" si="33"/>
        <v>412.2416598218951</v>
      </c>
      <c r="H73" s="88">
        <f t="shared" si="34"/>
        <v>2.237339509703429</v>
      </c>
      <c r="I73" s="88">
        <f t="shared" si="35"/>
        <v>2.59136018083072</v>
      </c>
      <c r="J73" s="57">
        <f t="shared" si="36"/>
        <v>0.6479688462807799</v>
      </c>
      <c r="K73" s="11">
        <f t="shared" si="37"/>
        <v>101.14463779567131</v>
      </c>
      <c r="L73" s="11">
        <f t="shared" si="38"/>
        <v>5253.70183125278</v>
      </c>
      <c r="M73" s="15">
        <f t="shared" si="39"/>
        <v>71.61290646341291</v>
      </c>
      <c r="N73" s="11">
        <f t="shared" si="40"/>
        <v>7439.011858282993</v>
      </c>
      <c r="O73" s="11">
        <f t="shared" si="41"/>
        <v>13926.098339547176</v>
      </c>
      <c r="P73" s="11">
        <f t="shared" si="42"/>
        <v>11.966123879731668</v>
      </c>
      <c r="Q73" s="121">
        <f t="shared" si="43"/>
        <v>26803.535697221763</v>
      </c>
      <c r="R73" s="90">
        <f t="shared" si="59"/>
        <v>0.2114495122273074</v>
      </c>
      <c r="S73" s="28"/>
      <c r="T73" s="79">
        <f t="shared" si="44"/>
        <v>0.918227102406949</v>
      </c>
      <c r="U73" s="80">
        <f t="shared" si="45"/>
        <v>0.7689367904096581</v>
      </c>
      <c r="V73" s="80">
        <f t="shared" si="46"/>
        <v>0.6479688462807799</v>
      </c>
      <c r="W73" s="80">
        <f t="shared" si="47"/>
        <v>0.5735333694820874</v>
      </c>
      <c r="X73" s="81">
        <f t="shared" si="48"/>
        <v>0.5643531590436982</v>
      </c>
      <c r="Y73" s="165">
        <f t="shared" si="49"/>
        <v>16519.448617776317</v>
      </c>
      <c r="Z73" s="165">
        <f t="shared" si="50"/>
        <v>14881.714555899283</v>
      </c>
      <c r="AA73" s="165">
        <f t="shared" si="51"/>
        <v>13428.151491430703</v>
      </c>
      <c r="AB73" s="165">
        <f t="shared" si="52"/>
        <v>12462.349467496739</v>
      </c>
      <c r="AC73" s="165">
        <f t="shared" si="53"/>
        <v>12338.827565132839</v>
      </c>
      <c r="AD73" s="72">
        <f t="shared" si="54"/>
        <v>18.075596766260666</v>
      </c>
      <c r="AE73" s="73">
        <f t="shared" si="55"/>
        <v>13.710948994480933</v>
      </c>
      <c r="AF73" s="73">
        <f t="shared" si="56"/>
        <v>10.580394595989889</v>
      </c>
      <c r="AG73" s="73">
        <f t="shared" si="57"/>
        <v>8.834720410123774</v>
      </c>
      <c r="AH73" s="74">
        <f t="shared" si="58"/>
        <v>8.62895863180308</v>
      </c>
      <c r="AI73" s="28"/>
      <c r="BX73"/>
    </row>
    <row r="74" spans="1:76" ht="16.5">
      <c r="A74" s="18">
        <v>33</v>
      </c>
      <c r="B74" s="4">
        <v>-0.68417335829729</v>
      </c>
      <c r="C74" s="11">
        <v>212.54789818753315</v>
      </c>
      <c r="D74" s="4">
        <v>-1.2484668110260242</v>
      </c>
      <c r="E74" s="4">
        <f t="shared" si="31"/>
        <v>1.4236441136875755</v>
      </c>
      <c r="F74" s="83">
        <f t="shared" si="32"/>
        <v>1.2899804068768137</v>
      </c>
      <c r="G74" s="86">
        <f t="shared" si="33"/>
        <v>400.75022048085435</v>
      </c>
      <c r="H74" s="88">
        <f t="shared" si="34"/>
        <v>2.353932238559555</v>
      </c>
      <c r="I74" s="88">
        <f t="shared" si="35"/>
        <v>2.684221755715438</v>
      </c>
      <c r="J74" s="57">
        <f t="shared" si="36"/>
        <v>0.6711888555975001</v>
      </c>
      <c r="K74" s="11">
        <f t="shared" si="37"/>
        <v>98.45783325283321</v>
      </c>
      <c r="L74" s="11">
        <f t="shared" si="38"/>
        <v>5093.904299371827</v>
      </c>
      <c r="M74" s="15">
        <f t="shared" si="39"/>
        <v>79.27119953042207</v>
      </c>
      <c r="N74" s="11">
        <f t="shared" si="40"/>
        <v>7933.423786155654</v>
      </c>
      <c r="O74" s="11">
        <f t="shared" si="41"/>
        <v>14181.511218251839</v>
      </c>
      <c r="P74" s="11">
        <f t="shared" si="42"/>
        <v>12.458726931574102</v>
      </c>
      <c r="Q74" s="121">
        <f t="shared" si="43"/>
        <v>27399.027063494148</v>
      </c>
      <c r="R74" s="90">
        <f t="shared" si="59"/>
        <v>0.21614726405961213</v>
      </c>
      <c r="S74" s="28"/>
      <c r="T74" s="79">
        <f t="shared" si="44"/>
        <v>0.9242301354655608</v>
      </c>
      <c r="U74" s="80">
        <f t="shared" si="45"/>
        <v>0.7837866107809083</v>
      </c>
      <c r="V74" s="80">
        <f t="shared" si="46"/>
        <v>0.6711888555975001</v>
      </c>
      <c r="W74" s="80">
        <f t="shared" si="47"/>
        <v>0.6022627576226717</v>
      </c>
      <c r="X74" s="81">
        <f t="shared" si="48"/>
        <v>0.5924519383564986</v>
      </c>
      <c r="Y74" s="165">
        <f t="shared" si="49"/>
        <v>16582.27163201638</v>
      </c>
      <c r="Z74" s="165">
        <f t="shared" si="50"/>
        <v>15051.66992780921</v>
      </c>
      <c r="AA74" s="165">
        <f t="shared" si="51"/>
        <v>13717.487744132095</v>
      </c>
      <c r="AB74" s="165">
        <f t="shared" si="52"/>
        <v>12842.41832735472</v>
      </c>
      <c r="AC74" s="165">
        <f t="shared" si="53"/>
        <v>12713.70845994678</v>
      </c>
      <c r="AD74" s="72">
        <f t="shared" si="54"/>
        <v>18.26268015253686</v>
      </c>
      <c r="AE74" s="73">
        <f t="shared" si="55"/>
        <v>14.120301278242355</v>
      </c>
      <c r="AF74" s="73">
        <f t="shared" si="56"/>
        <v>11.15311888869785</v>
      </c>
      <c r="AG74" s="73">
        <f t="shared" si="57"/>
        <v>9.49217760516359</v>
      </c>
      <c r="AH74" s="74">
        <f t="shared" si="58"/>
        <v>9.265356733229865</v>
      </c>
      <c r="AI74" s="28"/>
      <c r="BX74"/>
    </row>
    <row r="75" spans="1:76" ht="16.5">
      <c r="A75" s="18">
        <v>34</v>
      </c>
      <c r="B75" s="4">
        <v>-0.6739838818223287</v>
      </c>
      <c r="C75" s="11">
        <v>204.83970364331694</v>
      </c>
      <c r="D75" s="4">
        <v>-1.3146950729765248</v>
      </c>
      <c r="E75" s="4">
        <f t="shared" si="31"/>
        <v>1.4773887125144298</v>
      </c>
      <c r="F75" s="83">
        <f t="shared" si="32"/>
        <v>1.2707685728443623</v>
      </c>
      <c r="G75" s="86">
        <f t="shared" si="33"/>
        <v>386.2167403126409</v>
      </c>
      <c r="H75" s="88">
        <f t="shared" si="34"/>
        <v>2.4788028715088846</v>
      </c>
      <c r="I75" s="88">
        <f t="shared" si="35"/>
        <v>2.7855549611396273</v>
      </c>
      <c r="J75" s="57">
        <f t="shared" si="36"/>
        <v>0.6965271936233611</v>
      </c>
      <c r="K75" s="11">
        <f t="shared" si="37"/>
        <v>95.54698288801856</v>
      </c>
      <c r="L75" s="11">
        <f t="shared" si="38"/>
        <v>4915.2657716598005</v>
      </c>
      <c r="M75" s="15">
        <f t="shared" si="39"/>
        <v>87.90457881172557</v>
      </c>
      <c r="N75" s="11">
        <f t="shared" si="40"/>
        <v>8487.889041829609</v>
      </c>
      <c r="O75" s="11">
        <f t="shared" si="41"/>
        <v>14450.777626096</v>
      </c>
      <c r="P75" s="11">
        <f t="shared" si="42"/>
        <v>13.001698613390994</v>
      </c>
      <c r="Q75" s="121">
        <f t="shared" si="43"/>
        <v>28050.385699898543</v>
      </c>
      <c r="R75" s="90">
        <f t="shared" si="59"/>
        <v>0.221285745322255</v>
      </c>
      <c r="S75" s="28"/>
      <c r="T75" s="79">
        <f t="shared" si="44"/>
        <v>0.9302090545086215</v>
      </c>
      <c r="U75" s="80">
        <f t="shared" si="45"/>
        <v>0.7999382142334431</v>
      </c>
      <c r="V75" s="80">
        <f t="shared" si="46"/>
        <v>0.6965271936233611</v>
      </c>
      <c r="W75" s="80">
        <f t="shared" si="47"/>
        <v>0.6332739057369714</v>
      </c>
      <c r="X75" s="81">
        <f t="shared" si="48"/>
        <v>0.622541782760451</v>
      </c>
      <c r="Y75" s="165">
        <f t="shared" si="49"/>
        <v>16644.630043166453</v>
      </c>
      <c r="Z75" s="165">
        <f t="shared" si="50"/>
        <v>15234.62591802733</v>
      </c>
      <c r="AA75" s="165">
        <f t="shared" si="51"/>
        <v>14027.332211787645</v>
      </c>
      <c r="AB75" s="165">
        <f t="shared" si="52"/>
        <v>13242.246753698055</v>
      </c>
      <c r="AC75" s="165">
        <f t="shared" si="53"/>
        <v>13105.053203800517</v>
      </c>
      <c r="AD75" s="72">
        <f t="shared" si="54"/>
        <v>18.449901830564663</v>
      </c>
      <c r="AE75" s="73">
        <f t="shared" si="55"/>
        <v>14.571757975222416</v>
      </c>
      <c r="AF75" s="73">
        <f t="shared" si="56"/>
        <v>11.793374159100432</v>
      </c>
      <c r="AG75" s="73">
        <f t="shared" si="57"/>
        <v>10.224862371651763</v>
      </c>
      <c r="AH75" s="74">
        <f t="shared" si="58"/>
        <v>9.968596730415703</v>
      </c>
      <c r="AI75" s="28"/>
      <c r="BX75"/>
    </row>
    <row r="76" spans="1:76" ht="16.5">
      <c r="A76" s="18">
        <v>35</v>
      </c>
      <c r="B76" s="4">
        <v>-0.6632441842624921</v>
      </c>
      <c r="C76" s="11">
        <v>195.01696203664585</v>
      </c>
      <c r="D76" s="4">
        <v>-1.3862719757944502</v>
      </c>
      <c r="E76" s="4">
        <f t="shared" si="31"/>
        <v>1.536763755048598</v>
      </c>
      <c r="F76" s="83">
        <f t="shared" si="32"/>
        <v>1.2505193198444349</v>
      </c>
      <c r="G76" s="86">
        <f t="shared" si="33"/>
        <v>367.696369618941</v>
      </c>
      <c r="H76" s="88">
        <f t="shared" si="34"/>
        <v>2.6137581443213764</v>
      </c>
      <c r="I76" s="88">
        <f t="shared" si="35"/>
        <v>2.8975041339591754</v>
      </c>
      <c r="J76" s="57">
        <f t="shared" si="36"/>
        <v>0.7245200511545423</v>
      </c>
      <c r="K76" s="11">
        <f t="shared" si="37"/>
        <v>92.52622797111356</v>
      </c>
      <c r="L76" s="11">
        <f t="shared" si="38"/>
        <v>4721.106729910134</v>
      </c>
      <c r="M76" s="15">
        <f t="shared" si="39"/>
        <v>97.73684470964413</v>
      </c>
      <c r="N76" s="11">
        <f t="shared" si="40"/>
        <v>9118.268444235253</v>
      </c>
      <c r="O76" s="11">
        <f t="shared" si="41"/>
        <v>14738.295235171865</v>
      </c>
      <c r="P76" s="11">
        <f t="shared" si="42"/>
        <v>13.609827958015526</v>
      </c>
      <c r="Q76" s="121">
        <f t="shared" si="43"/>
        <v>28781.54330995602</v>
      </c>
      <c r="R76" s="90">
        <f t="shared" si="59"/>
        <v>0.2270537500270956</v>
      </c>
      <c r="S76" s="28"/>
      <c r="T76" s="79">
        <f t="shared" si="44"/>
        <v>0.9363577122494503</v>
      </c>
      <c r="U76" s="80">
        <f t="shared" si="45"/>
        <v>0.8178234666321061</v>
      </c>
      <c r="V76" s="80">
        <f t="shared" si="46"/>
        <v>0.7245200511545423</v>
      </c>
      <c r="W76" s="80">
        <f t="shared" si="47"/>
        <v>0.6671191881077171</v>
      </c>
      <c r="X76" s="81">
        <f t="shared" si="48"/>
        <v>0.6551269666436519</v>
      </c>
      <c r="Y76" s="165">
        <f t="shared" si="49"/>
        <v>16708.53999428356</v>
      </c>
      <c r="Z76" s="165">
        <f t="shared" si="50"/>
        <v>15434.982191763504</v>
      </c>
      <c r="AA76" s="165">
        <f t="shared" si="51"/>
        <v>14362.882114586537</v>
      </c>
      <c r="AB76" s="165">
        <f t="shared" si="52"/>
        <v>13667.158206339582</v>
      </c>
      <c r="AC76" s="165">
        <f t="shared" si="53"/>
        <v>13517.913668886136</v>
      </c>
      <c r="AD76" s="72">
        <f t="shared" si="54"/>
        <v>18.643364826761516</v>
      </c>
      <c r="AE76" s="73">
        <f t="shared" si="55"/>
        <v>15.07923337365443</v>
      </c>
      <c r="AF76" s="73">
        <f t="shared" si="56"/>
        <v>12.519247085077433</v>
      </c>
      <c r="AG76" s="73">
        <f t="shared" si="57"/>
        <v>11.051772050293556</v>
      </c>
      <c r="AH76" s="74">
        <f t="shared" si="58"/>
        <v>10.755522454290695</v>
      </c>
      <c r="AI76" s="28"/>
      <c r="BX76"/>
    </row>
    <row r="77" spans="1:76" ht="16.5">
      <c r="A77" s="15">
        <f>J25</f>
        <v>36.23820889210402</v>
      </c>
      <c r="B77" s="4">
        <v>-0.6526372462371004</v>
      </c>
      <c r="C77" s="11">
        <v>181.6577317804412</v>
      </c>
      <c r="D77" s="4">
        <v>-1.463643292735403</v>
      </c>
      <c r="E77" s="4">
        <f t="shared" si="31"/>
        <v>1.6025564150897398</v>
      </c>
      <c r="F77" s="83">
        <f t="shared" si="32"/>
        <v>1.2305203794241817</v>
      </c>
      <c r="G77" s="86">
        <f t="shared" si="33"/>
        <v>342.5080966871387</v>
      </c>
      <c r="H77" s="88">
        <f t="shared" si="34"/>
        <v>2.7596385439272266</v>
      </c>
      <c r="I77" s="88">
        <f t="shared" si="35"/>
        <v>3.021553457628545</v>
      </c>
      <c r="J77" s="57">
        <f t="shared" si="36"/>
        <v>0.7555385478245749</v>
      </c>
      <c r="K77" s="11">
        <f t="shared" si="37"/>
        <v>89.59043959780962</v>
      </c>
      <c r="L77" s="11">
        <f t="shared" si="38"/>
        <v>4514.305370607905</v>
      </c>
      <c r="M77" s="15">
        <f t="shared" si="39"/>
        <v>108.9511755376706</v>
      </c>
      <c r="N77" s="11">
        <f t="shared" si="40"/>
        <v>9838.23352856764</v>
      </c>
      <c r="O77" s="11">
        <f t="shared" si="41"/>
        <v>15043.862303147758</v>
      </c>
      <c r="P77" s="11">
        <f t="shared" si="42"/>
        <v>14.287851615897154</v>
      </c>
      <c r="Q77" s="121">
        <f t="shared" si="43"/>
        <v>29609.23066907468</v>
      </c>
      <c r="R77" s="90">
        <f>Q77*J$29*(A77-A76)</f>
        <v>0.28922487580205253</v>
      </c>
      <c r="S77" s="28"/>
      <c r="T77" s="79">
        <f t="shared" si="44"/>
        <v>0.941843153649664</v>
      </c>
      <c r="U77" s="80">
        <f t="shared" si="45"/>
        <v>0.8373630336707237</v>
      </c>
      <c r="V77" s="80">
        <f t="shared" si="46"/>
        <v>0.7555385478245749</v>
      </c>
      <c r="W77" s="80">
        <f t="shared" si="47"/>
        <v>0.7043106327101939</v>
      </c>
      <c r="X77" s="81">
        <f t="shared" si="48"/>
        <v>0.6905228167537526</v>
      </c>
      <c r="Y77" s="165">
        <f t="shared" si="49"/>
        <v>16765.370891399067</v>
      </c>
      <c r="Z77" s="165">
        <f t="shared" si="50"/>
        <v>15651.27053407566</v>
      </c>
      <c r="AA77" s="165">
        <f t="shared" si="51"/>
        <v>14726.895910014366</v>
      </c>
      <c r="AB77" s="165">
        <f t="shared" si="52"/>
        <v>14121.327037377016</v>
      </c>
      <c r="AC77" s="165">
        <f t="shared" si="53"/>
        <v>13954.447142872687</v>
      </c>
      <c r="AD77" s="72">
        <f t="shared" si="54"/>
        <v>18.816752867895346</v>
      </c>
      <c r="AE77" s="73">
        <f t="shared" si="55"/>
        <v>15.642730969089486</v>
      </c>
      <c r="AF77" s="73">
        <f t="shared" si="56"/>
        <v>13.346311989715788</v>
      </c>
      <c r="AG77" s="73">
        <f t="shared" si="57"/>
        <v>11.993250031427706</v>
      </c>
      <c r="AH77" s="74">
        <f t="shared" si="58"/>
        <v>11.640212221357439</v>
      </c>
      <c r="AI77" s="28"/>
      <c r="BX77"/>
    </row>
    <row r="78" spans="2:76" ht="6.75" customHeight="1">
      <c r="B78" s="4"/>
      <c r="D78" s="4"/>
      <c r="E78" s="4"/>
      <c r="F78" s="83"/>
      <c r="G78" s="86"/>
      <c r="H78" s="88"/>
      <c r="I78" s="88"/>
      <c r="J78" s="57"/>
      <c r="L78" s="11"/>
      <c r="M78" s="15"/>
      <c r="N78" s="11"/>
      <c r="O78" s="11"/>
      <c r="P78" s="11"/>
      <c r="Q78" s="121"/>
      <c r="R78" s="90"/>
      <c r="S78" s="28"/>
      <c r="T78" s="79"/>
      <c r="U78" s="80"/>
      <c r="V78" s="80"/>
      <c r="W78" s="80"/>
      <c r="X78" s="81"/>
      <c r="Y78" s="165"/>
      <c r="Z78" s="165"/>
      <c r="AA78" s="165"/>
      <c r="AB78" s="165"/>
      <c r="AC78" s="165"/>
      <c r="AD78" s="64"/>
      <c r="AE78" s="65"/>
      <c r="AF78" s="65"/>
      <c r="AG78" s="65"/>
      <c r="AH78" s="66"/>
      <c r="AI78" s="28"/>
      <c r="BX78"/>
    </row>
    <row r="79" spans="1:76" ht="16.5">
      <c r="A79" s="15">
        <f>I26</f>
        <v>41.284249216564326</v>
      </c>
      <c r="B79" s="4">
        <v>-0.6091989960299014</v>
      </c>
      <c r="C79" s="11">
        <v>165.1876539783805</v>
      </c>
      <c r="D79" s="4">
        <v>-0.9962057691997916</v>
      </c>
      <c r="E79" s="4">
        <f aca="true" t="shared" si="60" ref="E79:E93">SQRT(B79^2+D79^2)</f>
        <v>1.1677111592130942</v>
      </c>
      <c r="F79" s="83">
        <f aca="true" t="shared" si="61" ref="F79:F93">-B79*$E$29*(1-$E$33)/$E$30/$E$34</f>
        <v>1.1486193655996253</v>
      </c>
      <c r="G79" s="86">
        <f aca="true" t="shared" si="62" ref="G79:G93">C79*$E$29*(1-$E$33)/$E$30/$E$34</f>
        <v>311.45445011243083</v>
      </c>
      <c r="H79" s="88">
        <f aca="true" t="shared" si="63" ref="H79:H93">-D79*$E$29*(1-$E$33)/$E$30/$E$34</f>
        <v>1.8783045377323433</v>
      </c>
      <c r="I79" s="88">
        <f aca="true" t="shared" si="64" ref="I79:I93">E79*$E$29*(1-$E$33)/$E$30/$E$34</f>
        <v>2.2016708163339036</v>
      </c>
      <c r="J79" s="57">
        <f aca="true" t="shared" si="65" ref="J79:J93">E79*E$29/E$30</f>
        <v>0.5505271360203615</v>
      </c>
      <c r="K79" s="11">
        <f aca="true" t="shared" si="66" ref="K79:K93">L$33*E$14/120*F79^2/E$8*E$7*E$10*(E$10-1)*E$5/E$6</f>
        <v>78.06139614296876</v>
      </c>
      <c r="L79" s="11">
        <f aca="true" t="shared" si="67" ref="L79:L93">L$34*E$14/6*F79^2/E$9*E$7*E$5/E$6*(1+(G79*E$5/F79)^2/15)</f>
        <v>3911.5314525958606</v>
      </c>
      <c r="M79" s="15">
        <f aca="true" t="shared" si="68" ref="M79:M93">L$35*E$14/8*H79^2/E$9*E$7*E$6/E$5</f>
        <v>50.473047959002514</v>
      </c>
      <c r="N79" s="11">
        <f aca="true" t="shared" si="69" ref="N79:N93">E$14*E$15*(E$12/E$11)^2*J79*(1-E$33)/E$34^2*(E$20/2/PI())^2/E$19*LN((E$18+E$19*J79)/(E$18+E$19*E$33*J79))</f>
        <v>5512.029220809064</v>
      </c>
      <c r="O79" s="11">
        <f aca="true" t="shared" si="70" ref="O79:O93">(Y79+Z79+AA79+AB79+AC79)/5</f>
        <v>12501.985167735009</v>
      </c>
      <c r="P79" s="11">
        <f aca="true" t="shared" si="71" ref="P79:P93">(AD79+AE79+AF79+AG79+AH79)/5</f>
        <v>9.148270609549911</v>
      </c>
      <c r="Q79" s="121">
        <f aca="true" t="shared" si="72" ref="Q79:Q93">SUM(K79:P79)</f>
        <v>22063.228555851452</v>
      </c>
      <c r="R79" s="90">
        <f>Q79*J$29*(A80-A79)</f>
        <v>0.12457918843199785</v>
      </c>
      <c r="S79" s="28"/>
      <c r="T79" s="79">
        <f aca="true" t="shared" si="73" ref="T79:T93">SQRT(($B79-$C79*0.8*$E$5)^2+$D79^2)*$E$29/$E$30</f>
        <v>0.7543633222993228</v>
      </c>
      <c r="U79" s="80">
        <f aca="true" t="shared" si="74" ref="U79:U93">SQRT(($B79-$C79*0.4*$E$5)^2+$D79^2)*$E$29/$E$30</f>
        <v>0.6427315530627186</v>
      </c>
      <c r="V79" s="80">
        <f aca="true" t="shared" si="75" ref="V79:V93">SQRT(($B79)^2+$D79^2)*$E$29/$E$30</f>
        <v>0.5505271360203615</v>
      </c>
      <c r="W79" s="80">
        <f aca="true" t="shared" si="76" ref="W79:W93">SQRT(($B79+$C79*0.4*$E$5)^2+$D79^2)*$E$29/$E$30</f>
        <v>0.48886895647767814</v>
      </c>
      <c r="X79" s="81">
        <f aca="true" t="shared" si="77" ref="X79:X93">SQRT(($B79+$C79*0.8*$E$5)^2+$D79^2)*$E$29/$E$30</f>
        <v>0.46993833280632813</v>
      </c>
      <c r="Y79" s="165">
        <f aca="true" t="shared" si="78" ref="Y79:Y93">$L$36*$E$14*$E$15*$E$17/$E$34*2/3*$E$21/PI()*($E$22*$E$23*LN((T79+$E$23)/($E$33*T79+$E$23))+$E$24*T79*(1-$E$33)+$E$25*T79^2/2*(1-$E$33^2))</f>
        <v>14713.247893294536</v>
      </c>
      <c r="Z79" s="165">
        <f aca="true" t="shared" si="79" ref="Z79:Z93">$L$36*$E$14*$E$15*$E$17/$E$34*2/3*$E$21/PI()*($E$22*$E$23*LN((U79+$E$23)/($E$33*U79+$E$23))+$E$24*U79*(1-$E$33)+$E$25*U79^2/2*(1-$E$33^2))</f>
        <v>13362.14890920597</v>
      </c>
      <c r="AA79" s="165">
        <f aca="true" t="shared" si="80" ref="AA79:AA93">$L$36*$E$14*$E$15*$E$17/$E$34*2/3*$E$21/PI()*($E$22*$E$23*LN((V79+$E$23)/($E$33*V79+$E$23))+$E$24*V79*(1-$E$33)+$E$25*V79^2/2*(1-$E$33^2))</f>
        <v>12150.812758871201</v>
      </c>
      <c r="AB79" s="165">
        <f aca="true" t="shared" si="81" ref="AB79:AB93">$L$36*$E$14*$E$15*$E$17/$E$34*2/3*$E$21/PI()*($E$22*$E$23*LN((W79+$E$23)/($E$33*W79+$E$23))+$E$24*W79*(1-$E$33)+$E$25*W79^2/2*(1-$E$33^2))</f>
        <v>11281.002098678824</v>
      </c>
      <c r="AC79" s="165">
        <f aca="true" t="shared" si="82" ref="AC79:AC93">$L$36*$E$14*$E$15*$E$17/$E$34*2/3*$E$21/PI()*($E$22*$E$23*LN((X79+$E$23)/($E$33*X79+$E$23))+$E$24*X79*(1-$E$33)+$E$25*X79^2/2*(1-$E$33^2))</f>
        <v>11002.714178624514</v>
      </c>
      <c r="AD79" s="72">
        <f aca="true" t="shared" si="83" ref="AD79:AD93">1/9/PI()*$E$21/$E$34*$E$28^2*T79*(3*T79+4*$E$27)/($E$26*$E$27*$E$14*$E$15*$E$17*16*$E$5^2*$E$6^2)</f>
        <v>13.314540619758802</v>
      </c>
      <c r="AE79" s="73">
        <f aca="true" t="shared" si="84" ref="AE79:AE93">1/9/PI()*$E$21/$E$34*$E$28^2*U79*(3*U79+4*$E$27)/($E$26*$E$27*$E$14*$E$15*$E$17*16*$E$5^2*$E$6^2)</f>
        <v>10.45306729150574</v>
      </c>
      <c r="AF79" s="73">
        <f aca="true" t="shared" si="85" ref="AF79:AF93">1/9/PI()*$E$21/$E$34*$E$28^2*V79*(3*V79+4*$E$27)/($E$26*$E$27*$E$14*$E$15*$E$17*16*$E$5^2*$E$6^2)</f>
        <v>8.323018161617215</v>
      </c>
      <c r="AG79" s="73">
        <f aca="true" t="shared" si="86" ref="AG79:AG93">1/9/PI()*$E$21/$E$34*$E$28^2*W79*(3*W79+4*$E$27)/($E$26*$E$27*$E$14*$E$15*$E$17*16*$E$5^2*$E$6^2)</f>
        <v>7.0164620063054075</v>
      </c>
      <c r="AH79" s="74">
        <f aca="true" t="shared" si="87" ref="AH79:AH93">1/9/PI()*$E$21/$E$34*$E$28^2*X79*(3*X79+4*$E$27)/($E$26*$E$27*$E$14*$E$15*$E$17*16*$E$5^2*$E$6^2)</f>
        <v>6.6342649685623885</v>
      </c>
      <c r="AI79" s="28"/>
      <c r="BX79"/>
    </row>
    <row r="80" spans="1:76" ht="16.5">
      <c r="A80" s="18">
        <v>42</v>
      </c>
      <c r="B80" s="4">
        <v>-0.6036062565672307</v>
      </c>
      <c r="C80" s="11">
        <v>178.0405812419791</v>
      </c>
      <c r="D80" s="4">
        <v>-1.0020586485015945</v>
      </c>
      <c r="E80" s="4">
        <f t="shared" si="60"/>
        <v>1.1698128260554967</v>
      </c>
      <c r="F80" s="83">
        <f t="shared" si="61"/>
        <v>1.1380744879891223</v>
      </c>
      <c r="G80" s="86">
        <f t="shared" si="62"/>
        <v>335.6881098128288</v>
      </c>
      <c r="H80" s="88">
        <f t="shared" si="63"/>
        <v>1.8893398981882523</v>
      </c>
      <c r="I80" s="88">
        <f t="shared" si="64"/>
        <v>2.2056334217402718</v>
      </c>
      <c r="J80" s="57">
        <f t="shared" si="65"/>
        <v>0.5515179843294558</v>
      </c>
      <c r="K80" s="11">
        <f t="shared" si="66"/>
        <v>76.63469301306779</v>
      </c>
      <c r="L80" s="11">
        <f t="shared" si="67"/>
        <v>3913.2115652164503</v>
      </c>
      <c r="M80" s="15">
        <f t="shared" si="68"/>
        <v>51.06786575027929</v>
      </c>
      <c r="N80" s="11">
        <f t="shared" si="69"/>
        <v>5530.388150835943</v>
      </c>
      <c r="O80" s="11">
        <f t="shared" si="70"/>
        <v>12577.175837138308</v>
      </c>
      <c r="P80" s="11">
        <f t="shared" si="71"/>
        <v>9.304904058471795</v>
      </c>
      <c r="Q80" s="121">
        <f t="shared" si="72"/>
        <v>22157.78301601252</v>
      </c>
      <c r="R80" s="90">
        <f aca="true" t="shared" si="88" ref="R80:R92">Q80*J$29</f>
        <v>0.17479978998666207</v>
      </c>
      <c r="S80" s="28"/>
      <c r="T80" s="79">
        <f t="shared" si="73"/>
        <v>0.7725500184461415</v>
      </c>
      <c r="U80" s="80">
        <f t="shared" si="74"/>
        <v>0.6510155963702557</v>
      </c>
      <c r="V80" s="80">
        <f t="shared" si="75"/>
        <v>0.5515179843294558</v>
      </c>
      <c r="W80" s="80">
        <f t="shared" si="76"/>
        <v>0.48773545284882847</v>
      </c>
      <c r="X80" s="81">
        <f t="shared" si="77"/>
        <v>0.47430228915513106</v>
      </c>
      <c r="Y80" s="165">
        <f t="shared" si="78"/>
        <v>14923.224387516215</v>
      </c>
      <c r="Z80" s="165">
        <f t="shared" si="79"/>
        <v>13466.420231628072</v>
      </c>
      <c r="AA80" s="165">
        <f t="shared" si="80"/>
        <v>12164.367736655402</v>
      </c>
      <c r="AB80" s="165">
        <f t="shared" si="81"/>
        <v>11264.496873776268</v>
      </c>
      <c r="AC80" s="165">
        <f t="shared" si="82"/>
        <v>11067.36995611558</v>
      </c>
      <c r="AD80" s="72">
        <f t="shared" si="83"/>
        <v>13.810047477384568</v>
      </c>
      <c r="AE80" s="73">
        <f t="shared" si="84"/>
        <v>10.654779643980834</v>
      </c>
      <c r="AF80" s="73">
        <f t="shared" si="85"/>
        <v>8.344785564816538</v>
      </c>
      <c r="AG80" s="73">
        <f t="shared" si="86"/>
        <v>6.993326739884781</v>
      </c>
      <c r="AH80" s="74">
        <f t="shared" si="87"/>
        <v>6.721580866292256</v>
      </c>
      <c r="AI80" s="28"/>
      <c r="BX80"/>
    </row>
    <row r="81" spans="1:76" ht="16.5">
      <c r="A81" s="18">
        <v>43</v>
      </c>
      <c r="B81" s="4">
        <v>-0.5973385358568848</v>
      </c>
      <c r="C81" s="11">
        <v>186.95603637908826</v>
      </c>
      <c r="D81" s="4">
        <v>-1.0854266139488287</v>
      </c>
      <c r="E81" s="4">
        <f t="shared" si="60"/>
        <v>1.2389367460399527</v>
      </c>
      <c r="F81" s="83">
        <f t="shared" si="61"/>
        <v>1.126256961313947</v>
      </c>
      <c r="G81" s="86">
        <f t="shared" si="62"/>
        <v>352.4978296094052</v>
      </c>
      <c r="H81" s="88">
        <f t="shared" si="63"/>
        <v>2.0465267291045555</v>
      </c>
      <c r="I81" s="88">
        <f t="shared" si="64"/>
        <v>2.3359636974592557</v>
      </c>
      <c r="J81" s="57">
        <f t="shared" si="65"/>
        <v>0.584107031200591</v>
      </c>
      <c r="K81" s="11">
        <f t="shared" si="66"/>
        <v>75.05143885991605</v>
      </c>
      <c r="L81" s="11">
        <f t="shared" si="67"/>
        <v>3890.61585351947</v>
      </c>
      <c r="M81" s="15">
        <f t="shared" si="68"/>
        <v>59.91869673682306</v>
      </c>
      <c r="N81" s="11">
        <f t="shared" si="69"/>
        <v>6148.582549802288</v>
      </c>
      <c r="O81" s="11">
        <f t="shared" si="70"/>
        <v>13045.900030232862</v>
      </c>
      <c r="P81" s="11">
        <f t="shared" si="71"/>
        <v>10.125546142251391</v>
      </c>
      <c r="Q81" s="121">
        <f t="shared" si="72"/>
        <v>23230.19411529361</v>
      </c>
      <c r="R81" s="90">
        <f t="shared" si="88"/>
        <v>0.18325989787734012</v>
      </c>
      <c r="S81" s="28"/>
      <c r="T81" s="79">
        <f t="shared" si="73"/>
        <v>0.8075160574233163</v>
      </c>
      <c r="U81" s="80">
        <f t="shared" si="74"/>
        <v>0.6835283620205447</v>
      </c>
      <c r="V81" s="80">
        <f t="shared" si="75"/>
        <v>0.584107031200591</v>
      </c>
      <c r="W81" s="80">
        <f t="shared" si="76"/>
        <v>0.5234426326073708</v>
      </c>
      <c r="X81" s="81">
        <f t="shared" si="77"/>
        <v>0.5154071389546216</v>
      </c>
      <c r="Y81" s="165">
        <f t="shared" si="78"/>
        <v>15319.798163138907</v>
      </c>
      <c r="Z81" s="165">
        <f t="shared" si="79"/>
        <v>13869.126170975182</v>
      </c>
      <c r="AA81" s="165">
        <f t="shared" si="80"/>
        <v>12603.35635741429</v>
      </c>
      <c r="AB81" s="165">
        <f t="shared" si="81"/>
        <v>11775.27860039268</v>
      </c>
      <c r="AC81" s="165">
        <f t="shared" si="82"/>
        <v>11661.94085924325</v>
      </c>
      <c r="AD81" s="72">
        <f t="shared" si="83"/>
        <v>14.785801231872826</v>
      </c>
      <c r="AE81" s="73">
        <f t="shared" si="84"/>
        <v>11.462924276646488</v>
      </c>
      <c r="AF81" s="73">
        <f t="shared" si="85"/>
        <v>9.07430877949441</v>
      </c>
      <c r="AG81" s="73">
        <f t="shared" si="86"/>
        <v>7.737458263552482</v>
      </c>
      <c r="AH81" s="74">
        <f t="shared" si="87"/>
        <v>7.567238159690755</v>
      </c>
      <c r="AI81" s="28"/>
      <c r="BX81"/>
    </row>
    <row r="82" spans="1:76" ht="16.5">
      <c r="A82" s="18">
        <v>44</v>
      </c>
      <c r="B82" s="4">
        <v>-0.5899700995025388</v>
      </c>
      <c r="C82" s="11">
        <v>192.78678151772814</v>
      </c>
      <c r="D82" s="4">
        <v>-1.1637762674259693</v>
      </c>
      <c r="E82" s="4">
        <f t="shared" si="60"/>
        <v>1.3047758117511823</v>
      </c>
      <c r="F82" s="83">
        <f t="shared" si="61"/>
        <v>1.112364081079498</v>
      </c>
      <c r="G82" s="86">
        <f t="shared" si="62"/>
        <v>363.49145702140584</v>
      </c>
      <c r="H82" s="88">
        <f t="shared" si="63"/>
        <v>2.194251741552617</v>
      </c>
      <c r="I82" s="88">
        <f t="shared" si="64"/>
        <v>2.4601005170891956</v>
      </c>
      <c r="J82" s="57">
        <f t="shared" si="65"/>
        <v>0.615147406209669</v>
      </c>
      <c r="K82" s="11">
        <f t="shared" si="66"/>
        <v>73.21127320954236</v>
      </c>
      <c r="L82" s="11">
        <f t="shared" si="67"/>
        <v>3840.988371862855</v>
      </c>
      <c r="M82" s="15">
        <f t="shared" si="68"/>
        <v>68.88115482796839</v>
      </c>
      <c r="N82" s="11">
        <f t="shared" si="69"/>
        <v>6762.931377357301</v>
      </c>
      <c r="O82" s="11">
        <f t="shared" si="70"/>
        <v>13465.395286149756</v>
      </c>
      <c r="P82" s="11">
        <f t="shared" si="71"/>
        <v>10.903482966923786</v>
      </c>
      <c r="Q82" s="121">
        <f t="shared" si="72"/>
        <v>24222.31094637435</v>
      </c>
      <c r="R82" s="90">
        <f t="shared" si="88"/>
        <v>0.19108657501330725</v>
      </c>
      <c r="S82" s="28"/>
      <c r="T82" s="79">
        <f t="shared" si="73"/>
        <v>0.8368576663826162</v>
      </c>
      <c r="U82" s="80">
        <f t="shared" si="74"/>
        <v>0.712800265399363</v>
      </c>
      <c r="V82" s="80">
        <f t="shared" si="75"/>
        <v>0.615147406209669</v>
      </c>
      <c r="W82" s="80">
        <f t="shared" si="76"/>
        <v>0.5579400441110149</v>
      </c>
      <c r="X82" s="81">
        <f t="shared" si="77"/>
        <v>0.5538560306810385</v>
      </c>
      <c r="Y82" s="165">
        <f t="shared" si="78"/>
        <v>15645.709937369253</v>
      </c>
      <c r="Z82" s="165">
        <f t="shared" si="79"/>
        <v>14223.234700484196</v>
      </c>
      <c r="AA82" s="165">
        <f t="shared" si="80"/>
        <v>13009.810669148352</v>
      </c>
      <c r="AB82" s="165">
        <f t="shared" si="81"/>
        <v>12251.918421589482</v>
      </c>
      <c r="AC82" s="165">
        <f t="shared" si="82"/>
        <v>12196.302702157493</v>
      </c>
      <c r="AD82" s="72">
        <f t="shared" si="83"/>
        <v>15.628037307813653</v>
      </c>
      <c r="AE82" s="73">
        <f t="shared" si="84"/>
        <v>12.21297663242737</v>
      </c>
      <c r="AF82" s="73">
        <f t="shared" si="85"/>
        <v>9.793695829064168</v>
      </c>
      <c r="AG82" s="73">
        <f t="shared" si="86"/>
        <v>8.486459571347227</v>
      </c>
      <c r="AH82" s="74">
        <f t="shared" si="87"/>
        <v>8.396245493966509</v>
      </c>
      <c r="AI82" s="28"/>
      <c r="BX82"/>
    </row>
    <row r="83" spans="1:76" ht="16.5">
      <c r="A83" s="18">
        <v>45</v>
      </c>
      <c r="B83" s="4">
        <v>-0.5820132667816189</v>
      </c>
      <c r="C83" s="11">
        <v>196.4470854530454</v>
      </c>
      <c r="D83" s="4">
        <v>-1.239075168627491</v>
      </c>
      <c r="E83" s="4">
        <f t="shared" si="60"/>
        <v>1.3689582594875043</v>
      </c>
      <c r="F83" s="83">
        <f t="shared" si="61"/>
        <v>1.0973618039719422</v>
      </c>
      <c r="G83" s="86">
        <f t="shared" si="62"/>
        <v>370.39280783039425</v>
      </c>
      <c r="H83" s="88">
        <f t="shared" si="63"/>
        <v>2.3362246874899664</v>
      </c>
      <c r="I83" s="88">
        <f t="shared" si="64"/>
        <v>2.58111385243932</v>
      </c>
      <c r="J83" s="57">
        <f t="shared" si="65"/>
        <v>0.6454067548990017</v>
      </c>
      <c r="K83" s="11">
        <f t="shared" si="66"/>
        <v>71.24981241333381</v>
      </c>
      <c r="L83" s="11">
        <f t="shared" si="67"/>
        <v>3774.1504443962144</v>
      </c>
      <c r="M83" s="15">
        <f t="shared" si="68"/>
        <v>78.08304372848725</v>
      </c>
      <c r="N83" s="11">
        <f t="shared" si="69"/>
        <v>7385.270534643194</v>
      </c>
      <c r="O83" s="11">
        <f t="shared" si="70"/>
        <v>13852.794818000973</v>
      </c>
      <c r="P83" s="11">
        <f t="shared" si="71"/>
        <v>11.662005984437982</v>
      </c>
      <c r="Q83" s="121">
        <f t="shared" si="72"/>
        <v>25173.21065916664</v>
      </c>
      <c r="R83" s="90">
        <f t="shared" si="88"/>
        <v>0.19858809580960496</v>
      </c>
      <c r="S83" s="28"/>
      <c r="T83" s="79">
        <f t="shared" si="73"/>
        <v>0.8627299829078168</v>
      </c>
      <c r="U83" s="80">
        <f t="shared" si="74"/>
        <v>0.7402316555390058</v>
      </c>
      <c r="V83" s="80">
        <f t="shared" si="75"/>
        <v>0.6454067548990017</v>
      </c>
      <c r="W83" s="80">
        <f t="shared" si="76"/>
        <v>0.5917127255939741</v>
      </c>
      <c r="X83" s="81">
        <f t="shared" si="77"/>
        <v>0.5904787167576716</v>
      </c>
      <c r="Y83" s="165">
        <f t="shared" si="78"/>
        <v>15928.16387538397</v>
      </c>
      <c r="Z83" s="165">
        <f t="shared" si="79"/>
        <v>14548.258517810822</v>
      </c>
      <c r="AA83" s="165">
        <f t="shared" si="80"/>
        <v>13395.897760090114</v>
      </c>
      <c r="AB83" s="165">
        <f t="shared" si="81"/>
        <v>12703.96590642962</v>
      </c>
      <c r="AC83" s="165">
        <f t="shared" si="82"/>
        <v>12687.688030290332</v>
      </c>
      <c r="AD83" s="72">
        <f t="shared" si="83"/>
        <v>16.38843206551108</v>
      </c>
      <c r="AE83" s="73">
        <f t="shared" si="84"/>
        <v>12.935187977690825</v>
      </c>
      <c r="AF83" s="73">
        <f t="shared" si="85"/>
        <v>10.518020763198775</v>
      </c>
      <c r="AG83" s="73">
        <f t="shared" si="86"/>
        <v>9.248363395916634</v>
      </c>
      <c r="AH83" s="74">
        <f t="shared" si="87"/>
        <v>9.220025719872597</v>
      </c>
      <c r="AI83" s="28"/>
      <c r="BX83"/>
    </row>
    <row r="84" spans="1:76" ht="16.5">
      <c r="A84" s="18">
        <v>46</v>
      </c>
      <c r="B84" s="4">
        <v>-0.5731696417058778</v>
      </c>
      <c r="C84" s="11">
        <v>198.3951260814957</v>
      </c>
      <c r="D84" s="4">
        <v>-1.3126336149754054</v>
      </c>
      <c r="E84" s="4">
        <f t="shared" si="60"/>
        <v>1.4323164613089683</v>
      </c>
      <c r="F84" s="83">
        <f t="shared" si="61"/>
        <v>1.0806875167680938</v>
      </c>
      <c r="G84" s="86">
        <f t="shared" si="62"/>
        <v>374.0657574008875</v>
      </c>
      <c r="H84" s="88">
        <f t="shared" si="63"/>
        <v>2.4749160782001516</v>
      </c>
      <c r="I84" s="88">
        <f t="shared" si="64"/>
        <v>2.7005731064038994</v>
      </c>
      <c r="J84" s="57">
        <f t="shared" si="65"/>
        <v>0.6752775059978231</v>
      </c>
      <c r="K84" s="11">
        <f t="shared" si="66"/>
        <v>69.10099738009967</v>
      </c>
      <c r="L84" s="11">
        <f t="shared" si="67"/>
        <v>3689.131735259444</v>
      </c>
      <c r="M84" s="15">
        <f t="shared" si="68"/>
        <v>87.62912402369962</v>
      </c>
      <c r="N84" s="11">
        <f t="shared" si="69"/>
        <v>8021.844499282816</v>
      </c>
      <c r="O84" s="11">
        <f t="shared" si="70"/>
        <v>14217.57000564618</v>
      </c>
      <c r="P84" s="11">
        <f t="shared" si="71"/>
        <v>12.413821343475984</v>
      </c>
      <c r="Q84" s="121">
        <f t="shared" si="72"/>
        <v>26097.690182935712</v>
      </c>
      <c r="R84" s="90">
        <f t="shared" si="88"/>
        <v>0.20588119126437235</v>
      </c>
      <c r="S84" s="28"/>
      <c r="T84" s="79">
        <f t="shared" si="73"/>
        <v>0.8861538137639771</v>
      </c>
      <c r="U84" s="80">
        <f t="shared" si="74"/>
        <v>0.7664875516618178</v>
      </c>
      <c r="V84" s="80">
        <f t="shared" si="75"/>
        <v>0.6752775059978231</v>
      </c>
      <c r="W84" s="80">
        <f t="shared" si="76"/>
        <v>0.6251065600445885</v>
      </c>
      <c r="X84" s="81">
        <f t="shared" si="77"/>
        <v>0.6259222561668051</v>
      </c>
      <c r="Y84" s="165">
        <f t="shared" si="78"/>
        <v>16180.088591428595</v>
      </c>
      <c r="Z84" s="165">
        <f t="shared" si="79"/>
        <v>14853.519045696297</v>
      </c>
      <c r="AA84" s="165">
        <f t="shared" si="80"/>
        <v>13767.892241702357</v>
      </c>
      <c r="AB84" s="165">
        <f t="shared" si="81"/>
        <v>13137.951053317223</v>
      </c>
      <c r="AC84" s="165">
        <f t="shared" si="82"/>
        <v>13148.399096086428</v>
      </c>
      <c r="AD84" s="72">
        <f t="shared" si="83"/>
        <v>17.09120724913192</v>
      </c>
      <c r="AE84" s="73">
        <f t="shared" si="84"/>
        <v>13.643959181652033</v>
      </c>
      <c r="AF84" s="73">
        <f t="shared" si="85"/>
        <v>11.255352765775372</v>
      </c>
      <c r="AG84" s="73">
        <f t="shared" si="86"/>
        <v>10.029579260994765</v>
      </c>
      <c r="AH84" s="74">
        <f t="shared" si="87"/>
        <v>10.049008259825827</v>
      </c>
      <c r="AI84" s="28"/>
      <c r="BX84"/>
    </row>
    <row r="85" spans="1:76" ht="16.5">
      <c r="A85" s="18">
        <v>47</v>
      </c>
      <c r="B85" s="4">
        <v>-0.5638422032320918</v>
      </c>
      <c r="C85" s="11">
        <v>198.77989350058206</v>
      </c>
      <c r="D85" s="4">
        <v>-1.3853539176118572</v>
      </c>
      <c r="E85" s="4">
        <f t="shared" si="60"/>
        <v>1.495701677203091</v>
      </c>
      <c r="F85" s="83">
        <f t="shared" si="61"/>
        <v>1.0631010195278656</v>
      </c>
      <c r="G85" s="86">
        <f t="shared" si="62"/>
        <v>374.7912203640482</v>
      </c>
      <c r="H85" s="88">
        <f t="shared" si="63"/>
        <v>2.6120271838074136</v>
      </c>
      <c r="I85" s="88">
        <f t="shared" si="64"/>
        <v>2.8200832942787475</v>
      </c>
      <c r="J85" s="57">
        <f t="shared" si="65"/>
        <v>0.7051609931058329</v>
      </c>
      <c r="K85" s="11">
        <f t="shared" si="66"/>
        <v>66.87027595453937</v>
      </c>
      <c r="L85" s="11">
        <f t="shared" si="67"/>
        <v>3591.250889296332</v>
      </c>
      <c r="M85" s="15">
        <f t="shared" si="68"/>
        <v>97.60743518483756</v>
      </c>
      <c r="N85" s="11">
        <f t="shared" si="69"/>
        <v>8680.33546029083</v>
      </c>
      <c r="O85" s="11">
        <f t="shared" si="70"/>
        <v>14566.762947986092</v>
      </c>
      <c r="P85" s="11">
        <f t="shared" si="71"/>
        <v>13.16991562689336</v>
      </c>
      <c r="Q85" s="121">
        <f t="shared" si="72"/>
        <v>27015.996924339524</v>
      </c>
      <c r="R85" s="90">
        <f t="shared" si="88"/>
        <v>0.21312559046372911</v>
      </c>
      <c r="S85" s="28"/>
      <c r="T85" s="79">
        <f t="shared" si="73"/>
        <v>0.9078596099744936</v>
      </c>
      <c r="U85" s="80">
        <f t="shared" si="74"/>
        <v>0.7921306311202876</v>
      </c>
      <c r="V85" s="80">
        <f t="shared" si="75"/>
        <v>0.7051609931058329</v>
      </c>
      <c r="W85" s="80">
        <f t="shared" si="76"/>
        <v>0.658446914898975</v>
      </c>
      <c r="X85" s="81">
        <f t="shared" si="77"/>
        <v>0.6605844967791367</v>
      </c>
      <c r="Y85" s="165">
        <f t="shared" si="78"/>
        <v>16410.441661185672</v>
      </c>
      <c r="Z85" s="165">
        <f t="shared" si="79"/>
        <v>15146.429473847966</v>
      </c>
      <c r="AA85" s="165">
        <f t="shared" si="80"/>
        <v>14131.563330958701</v>
      </c>
      <c r="AB85" s="165">
        <f t="shared" si="81"/>
        <v>13559.372183249727</v>
      </c>
      <c r="AC85" s="165">
        <f t="shared" si="82"/>
        <v>13586.0080906884</v>
      </c>
      <c r="AD85" s="72">
        <f t="shared" si="83"/>
        <v>17.754603871110604</v>
      </c>
      <c r="AE85" s="73">
        <f t="shared" si="84"/>
        <v>14.352717498912359</v>
      </c>
      <c r="AF85" s="73">
        <f t="shared" si="85"/>
        <v>12.015178165767448</v>
      </c>
      <c r="AG85" s="73">
        <f t="shared" si="86"/>
        <v>10.837179120132186</v>
      </c>
      <c r="AH85" s="74">
        <f t="shared" si="87"/>
        <v>10.889899478544207</v>
      </c>
      <c r="AI85" s="28"/>
      <c r="BX85"/>
    </row>
    <row r="86" spans="1:76" ht="16.5">
      <c r="A86" s="18">
        <v>48</v>
      </c>
      <c r="B86" s="4">
        <v>-0.553885694261746</v>
      </c>
      <c r="C86" s="11">
        <v>197.80678894011174</v>
      </c>
      <c r="D86" s="4">
        <v>-1.4583924395940684</v>
      </c>
      <c r="E86" s="4">
        <f t="shared" si="60"/>
        <v>1.5600313683298022</v>
      </c>
      <c r="F86" s="83">
        <f t="shared" si="61"/>
        <v>1.044328436034402</v>
      </c>
      <c r="G86" s="86">
        <f t="shared" si="62"/>
        <v>372.95647219441287</v>
      </c>
      <c r="H86" s="88">
        <f t="shared" si="63"/>
        <v>2.7497382787538407</v>
      </c>
      <c r="I86" s="88">
        <f t="shared" si="64"/>
        <v>2.941374250916431</v>
      </c>
      <c r="J86" s="57">
        <f t="shared" si="65"/>
        <v>0.7354897609159553</v>
      </c>
      <c r="K86" s="11">
        <f t="shared" si="66"/>
        <v>64.52949305216848</v>
      </c>
      <c r="L86" s="11">
        <f t="shared" si="67"/>
        <v>3480.4002486375484</v>
      </c>
      <c r="M86" s="15">
        <f t="shared" si="68"/>
        <v>108.17084820195447</v>
      </c>
      <c r="N86" s="11">
        <f t="shared" si="69"/>
        <v>9370.329383202426</v>
      </c>
      <c r="O86" s="11">
        <f t="shared" si="70"/>
        <v>14907.60975247421</v>
      </c>
      <c r="P86" s="11">
        <f t="shared" si="71"/>
        <v>13.94440112119992</v>
      </c>
      <c r="Q86" s="121">
        <f t="shared" si="72"/>
        <v>27944.98412668951</v>
      </c>
      <c r="R86" s="90">
        <f t="shared" si="88"/>
        <v>0.2204542463926063</v>
      </c>
      <c r="S86" s="28"/>
      <c r="T86" s="79">
        <f t="shared" si="73"/>
        <v>0.9285720496105295</v>
      </c>
      <c r="U86" s="80">
        <f t="shared" si="74"/>
        <v>0.817716850820649</v>
      </c>
      <c r="V86" s="80">
        <f t="shared" si="75"/>
        <v>0.7354897609159553</v>
      </c>
      <c r="W86" s="80">
        <f t="shared" si="76"/>
        <v>0.6921698290206013</v>
      </c>
      <c r="X86" s="81">
        <f t="shared" si="77"/>
        <v>0.6950701399849066</v>
      </c>
      <c r="Y86" s="165">
        <f t="shared" si="78"/>
        <v>16627.577492675737</v>
      </c>
      <c r="Z86" s="165">
        <f t="shared" si="79"/>
        <v>15433.79466833056</v>
      </c>
      <c r="AA86" s="165">
        <f t="shared" si="80"/>
        <v>14492.52845636167</v>
      </c>
      <c r="AB86" s="165">
        <f t="shared" si="81"/>
        <v>13974.472422341003</v>
      </c>
      <c r="AC86" s="165">
        <f t="shared" si="82"/>
        <v>14009.675722662083</v>
      </c>
      <c r="AD86" s="72">
        <f t="shared" si="83"/>
        <v>18.398552977299744</v>
      </c>
      <c r="AE86" s="73">
        <f t="shared" si="84"/>
        <v>15.076184718074606</v>
      </c>
      <c r="AF86" s="73">
        <f t="shared" si="85"/>
        <v>12.809007426048296</v>
      </c>
      <c r="AG86" s="73">
        <f t="shared" si="86"/>
        <v>11.682135701065077</v>
      </c>
      <c r="AH86" s="74">
        <f t="shared" si="87"/>
        <v>11.756124783511874</v>
      </c>
      <c r="AI86" s="28"/>
      <c r="BX86"/>
    </row>
    <row r="87" spans="1:76" ht="16.5">
      <c r="A87" s="18">
        <v>49</v>
      </c>
      <c r="B87" s="4">
        <v>-0.5431440402046857</v>
      </c>
      <c r="C87" s="11">
        <v>195.4771629223311</v>
      </c>
      <c r="D87" s="4">
        <v>-1.5324290050316072</v>
      </c>
      <c r="E87" s="4">
        <f t="shared" si="60"/>
        <v>1.6258364320779723</v>
      </c>
      <c r="F87" s="83">
        <f t="shared" si="61"/>
        <v>1.0240754941403452</v>
      </c>
      <c r="G87" s="86">
        <f t="shared" si="62"/>
        <v>368.5640592454982</v>
      </c>
      <c r="H87" s="88">
        <f t="shared" si="63"/>
        <v>2.88933114311875</v>
      </c>
      <c r="I87" s="88">
        <f t="shared" si="64"/>
        <v>3.065446961259434</v>
      </c>
      <c r="J87" s="57">
        <f t="shared" si="65"/>
        <v>0.7665141054168083</v>
      </c>
      <c r="K87" s="11">
        <f t="shared" si="66"/>
        <v>62.05088693530453</v>
      </c>
      <c r="L87" s="11">
        <f t="shared" si="67"/>
        <v>3355.4593367013345</v>
      </c>
      <c r="M87" s="15">
        <f t="shared" si="68"/>
        <v>119.43239837888045</v>
      </c>
      <c r="N87" s="11">
        <f t="shared" si="69"/>
        <v>10098.303995647757</v>
      </c>
      <c r="O87" s="11">
        <f t="shared" si="70"/>
        <v>15243.937501838498</v>
      </c>
      <c r="P87" s="11">
        <f t="shared" si="71"/>
        <v>14.745694119244078</v>
      </c>
      <c r="Q87" s="121">
        <f t="shared" si="72"/>
        <v>28893.92981362102</v>
      </c>
      <c r="R87" s="90">
        <f t="shared" si="88"/>
        <v>0.22794035213994146</v>
      </c>
      <c r="S87" s="28"/>
      <c r="T87" s="79">
        <f t="shared" si="73"/>
        <v>0.9486276953741397</v>
      </c>
      <c r="U87" s="80">
        <f t="shared" si="74"/>
        <v>0.8435375588885827</v>
      </c>
      <c r="V87" s="80">
        <f t="shared" si="75"/>
        <v>0.7665141054168083</v>
      </c>
      <c r="W87" s="80">
        <f t="shared" si="76"/>
        <v>0.726539252946813</v>
      </c>
      <c r="X87" s="81">
        <f t="shared" si="77"/>
        <v>0.7297272436084999</v>
      </c>
      <c r="Y87" s="165">
        <f t="shared" si="78"/>
        <v>16835.421253386256</v>
      </c>
      <c r="Z87" s="165">
        <f t="shared" si="79"/>
        <v>15719.06814811678</v>
      </c>
      <c r="AA87" s="165">
        <f t="shared" si="80"/>
        <v>14853.824983136115</v>
      </c>
      <c r="AB87" s="165">
        <f t="shared" si="81"/>
        <v>14386.82269388251</v>
      </c>
      <c r="AC87" s="165">
        <f t="shared" si="82"/>
        <v>14424.550430670824</v>
      </c>
      <c r="AD87" s="72">
        <f t="shared" si="83"/>
        <v>19.032237836405937</v>
      </c>
      <c r="AE87" s="73">
        <f t="shared" si="84"/>
        <v>15.82276889114567</v>
      </c>
      <c r="AF87" s="73">
        <f t="shared" si="85"/>
        <v>13.644684661784662</v>
      </c>
      <c r="AG87" s="73">
        <f t="shared" si="86"/>
        <v>12.572358988368668</v>
      </c>
      <c r="AH87" s="74">
        <f t="shared" si="87"/>
        <v>12.656420218515452</v>
      </c>
      <c r="AI87" s="28"/>
      <c r="BX87"/>
    </row>
    <row r="88" spans="1:76" ht="16.5">
      <c r="A88" s="18">
        <v>50</v>
      </c>
      <c r="B88" s="4">
        <v>-0.5318523069431151</v>
      </c>
      <c r="C88" s="11">
        <v>191.67859495808676</v>
      </c>
      <c r="D88" s="4">
        <v>-1.6083404901146503</v>
      </c>
      <c r="E88" s="4">
        <f t="shared" si="60"/>
        <v>1.6939970509251032</v>
      </c>
      <c r="F88" s="83">
        <f t="shared" si="61"/>
        <v>1.0027854007883388</v>
      </c>
      <c r="G88" s="86">
        <f t="shared" si="62"/>
        <v>361.40201736146446</v>
      </c>
      <c r="H88" s="88">
        <f t="shared" si="63"/>
        <v>3.032459090482489</v>
      </c>
      <c r="I88" s="88">
        <f t="shared" si="64"/>
        <v>3.193960972755321</v>
      </c>
      <c r="J88" s="57">
        <f t="shared" si="65"/>
        <v>0.7986489959564976</v>
      </c>
      <c r="K88" s="11">
        <f t="shared" si="66"/>
        <v>59.497682703463774</v>
      </c>
      <c r="L88" s="11">
        <f t="shared" si="67"/>
        <v>3218.907069405435</v>
      </c>
      <c r="M88" s="15">
        <f t="shared" si="68"/>
        <v>131.5580469885069</v>
      </c>
      <c r="N88" s="11">
        <f t="shared" si="69"/>
        <v>10875.485079180511</v>
      </c>
      <c r="O88" s="11">
        <f t="shared" si="70"/>
        <v>15580.605945480254</v>
      </c>
      <c r="P88" s="11">
        <f t="shared" si="71"/>
        <v>15.586598840332641</v>
      </c>
      <c r="Q88" s="121">
        <f t="shared" si="72"/>
        <v>29881.640422598502</v>
      </c>
      <c r="R88" s="90">
        <f t="shared" si="88"/>
        <v>0.2357322691783967</v>
      </c>
      <c r="S88" s="28"/>
      <c r="T88" s="79">
        <f t="shared" si="73"/>
        <v>0.9684652498982946</v>
      </c>
      <c r="U88" s="80">
        <f t="shared" si="74"/>
        <v>0.8700326900676818</v>
      </c>
      <c r="V88" s="80">
        <f t="shared" si="75"/>
        <v>0.7986489959564976</v>
      </c>
      <c r="W88" s="80">
        <f t="shared" si="76"/>
        <v>0.7619546909943603</v>
      </c>
      <c r="X88" s="81">
        <f t="shared" si="77"/>
        <v>0.7649582203913982</v>
      </c>
      <c r="Y88" s="165">
        <f t="shared" si="78"/>
        <v>17038.748992681703</v>
      </c>
      <c r="Z88" s="165">
        <f t="shared" si="79"/>
        <v>16007.084804583912</v>
      </c>
      <c r="AA88" s="165">
        <f t="shared" si="80"/>
        <v>15220.093674496928</v>
      </c>
      <c r="AB88" s="165">
        <f t="shared" si="81"/>
        <v>14801.212649725067</v>
      </c>
      <c r="AC88" s="165">
        <f t="shared" si="82"/>
        <v>14835.889605913666</v>
      </c>
      <c r="AD88" s="72">
        <f t="shared" si="83"/>
        <v>19.668861266014762</v>
      </c>
      <c r="AE88" s="73">
        <f t="shared" si="84"/>
        <v>16.606069816746817</v>
      </c>
      <c r="AF88" s="73">
        <f t="shared" si="85"/>
        <v>14.53548478818229</v>
      </c>
      <c r="AG88" s="73">
        <f t="shared" si="86"/>
        <v>13.520372741892968</v>
      </c>
      <c r="AH88" s="74">
        <f t="shared" si="87"/>
        <v>13.602205588826369</v>
      </c>
      <c r="AI88" s="28"/>
      <c r="BX88"/>
    </row>
    <row r="89" spans="1:76" ht="16.5">
      <c r="A89" s="18">
        <v>51</v>
      </c>
      <c r="B89" s="4">
        <v>-0.5197396600150359</v>
      </c>
      <c r="C89" s="11">
        <v>186.28593034491297</v>
      </c>
      <c r="D89" s="4">
        <v>-1.68723168296781</v>
      </c>
      <c r="E89" s="4">
        <f t="shared" si="60"/>
        <v>1.7654687950238412</v>
      </c>
      <c r="F89" s="83">
        <f t="shared" si="61"/>
        <v>0.9799475088664358</v>
      </c>
      <c r="G89" s="86">
        <f t="shared" si="62"/>
        <v>351.23437255698883</v>
      </c>
      <c r="H89" s="88">
        <f t="shared" si="63"/>
        <v>3.18120515289712</v>
      </c>
      <c r="I89" s="88">
        <f t="shared" si="64"/>
        <v>3.328717973177169</v>
      </c>
      <c r="J89" s="57">
        <f t="shared" si="65"/>
        <v>0.8323449440294559</v>
      </c>
      <c r="K89" s="11">
        <f t="shared" si="66"/>
        <v>56.81848800834629</v>
      </c>
      <c r="L89" s="11">
        <f t="shared" si="67"/>
        <v>3068.23977227702</v>
      </c>
      <c r="M89" s="15">
        <f t="shared" si="68"/>
        <v>144.78076622750572</v>
      </c>
      <c r="N89" s="11">
        <f t="shared" si="69"/>
        <v>11715.199704418777</v>
      </c>
      <c r="O89" s="11">
        <f t="shared" si="70"/>
        <v>15922.72351537263</v>
      </c>
      <c r="P89" s="11">
        <f t="shared" si="71"/>
        <v>16.482739069815874</v>
      </c>
      <c r="Q89" s="121">
        <f t="shared" si="72"/>
        <v>30924.244985374095</v>
      </c>
      <c r="R89" s="90">
        <f t="shared" si="88"/>
        <v>0.24395723728466467</v>
      </c>
      <c r="S89" s="28"/>
      <c r="T89" s="79">
        <f t="shared" si="73"/>
        <v>0.9885109812190268</v>
      </c>
      <c r="U89" s="80">
        <f t="shared" si="74"/>
        <v>0.8976446832782151</v>
      </c>
      <c r="V89" s="80">
        <f t="shared" si="75"/>
        <v>0.8323449440294559</v>
      </c>
      <c r="W89" s="80">
        <f t="shared" si="76"/>
        <v>0.7989057173984025</v>
      </c>
      <c r="X89" s="81">
        <f t="shared" si="77"/>
        <v>0.8013255865994932</v>
      </c>
      <c r="Y89" s="165">
        <f t="shared" si="78"/>
        <v>17242.001036045192</v>
      </c>
      <c r="Z89" s="165">
        <f t="shared" si="79"/>
        <v>16302.399125756496</v>
      </c>
      <c r="AA89" s="165">
        <f t="shared" si="80"/>
        <v>15595.97805796843</v>
      </c>
      <c r="AB89" s="165">
        <f t="shared" si="81"/>
        <v>15222.988450042247</v>
      </c>
      <c r="AC89" s="165">
        <f t="shared" si="82"/>
        <v>15250.250907050786</v>
      </c>
      <c r="AD89" s="72">
        <f t="shared" si="83"/>
        <v>20.3220956064441</v>
      </c>
      <c r="AE89" s="73">
        <f t="shared" si="84"/>
        <v>17.440946040654758</v>
      </c>
      <c r="AF89" s="73">
        <f t="shared" si="85"/>
        <v>15.49711021399522</v>
      </c>
      <c r="AG89" s="73">
        <f t="shared" si="86"/>
        <v>14.542704558963274</v>
      </c>
      <c r="AH89" s="74">
        <f t="shared" si="87"/>
        <v>14.61083892902203</v>
      </c>
      <c r="AI89" s="28"/>
      <c r="BX89"/>
    </row>
    <row r="90" spans="1:76" ht="16.5">
      <c r="A90" s="18">
        <v>52</v>
      </c>
      <c r="B90" s="4">
        <v>-0.507115608884023</v>
      </c>
      <c r="C90" s="11">
        <v>179.04529282170077</v>
      </c>
      <c r="D90" s="4">
        <v>-1.7698720892038968</v>
      </c>
      <c r="E90" s="4">
        <f t="shared" si="60"/>
        <v>1.8410902891810548</v>
      </c>
      <c r="F90" s="83">
        <f t="shared" si="61"/>
        <v>0.9561453855932557</v>
      </c>
      <c r="G90" s="86">
        <f t="shared" si="62"/>
        <v>337.5824517024761</v>
      </c>
      <c r="H90" s="88">
        <f t="shared" si="63"/>
        <v>3.3370202011857586</v>
      </c>
      <c r="I90" s="88">
        <f t="shared" si="64"/>
        <v>3.471299154713278</v>
      </c>
      <c r="J90" s="57">
        <f t="shared" si="65"/>
        <v>0.8679973262743994</v>
      </c>
      <c r="K90" s="11">
        <f t="shared" si="66"/>
        <v>54.091859712579314</v>
      </c>
      <c r="L90" s="11">
        <f t="shared" si="67"/>
        <v>2906.397530853031</v>
      </c>
      <c r="M90" s="15">
        <f t="shared" si="68"/>
        <v>159.31078870217075</v>
      </c>
      <c r="N90" s="11">
        <f t="shared" si="69"/>
        <v>12630.704623609165</v>
      </c>
      <c r="O90" s="11">
        <f t="shared" si="70"/>
        <v>16274.144777713238</v>
      </c>
      <c r="P90" s="11">
        <f t="shared" si="71"/>
        <v>17.449017010914904</v>
      </c>
      <c r="Q90" s="121">
        <f t="shared" si="72"/>
        <v>32042.0985976011</v>
      </c>
      <c r="R90" s="90">
        <f t="shared" si="88"/>
        <v>0.25277583508896234</v>
      </c>
      <c r="S90" s="28"/>
      <c r="T90" s="79">
        <f t="shared" si="73"/>
        <v>1.0091814541349289</v>
      </c>
      <c r="U90" s="80">
        <f t="shared" si="74"/>
        <v>0.9267954439419815</v>
      </c>
      <c r="V90" s="80">
        <f t="shared" si="75"/>
        <v>0.8679973262743994</v>
      </c>
      <c r="W90" s="80">
        <f t="shared" si="76"/>
        <v>0.8377684034944054</v>
      </c>
      <c r="X90" s="81">
        <f t="shared" si="77"/>
        <v>0.8392016523659794</v>
      </c>
      <c r="Y90" s="165">
        <f t="shared" si="78"/>
        <v>17449.33178229954</v>
      </c>
      <c r="Z90" s="165">
        <f t="shared" si="79"/>
        <v>16609.052888623424</v>
      </c>
      <c r="AA90" s="165">
        <f t="shared" si="80"/>
        <v>15985.123422457094</v>
      </c>
      <c r="AB90" s="165">
        <f t="shared" si="81"/>
        <v>15655.729582615602</v>
      </c>
      <c r="AC90" s="165">
        <f t="shared" si="82"/>
        <v>15671.486212570519</v>
      </c>
      <c r="AD90" s="72">
        <f t="shared" si="83"/>
        <v>21.006141989172644</v>
      </c>
      <c r="AE90" s="73">
        <f t="shared" si="84"/>
        <v>18.342900514590628</v>
      </c>
      <c r="AF90" s="73">
        <f t="shared" si="85"/>
        <v>16.545278055176706</v>
      </c>
      <c r="AG90" s="73">
        <f t="shared" si="86"/>
        <v>15.65452176834232</v>
      </c>
      <c r="AH90" s="74">
        <f t="shared" si="87"/>
        <v>15.696242727292212</v>
      </c>
      <c r="AI90" s="28"/>
      <c r="BX90"/>
    </row>
    <row r="91" spans="1:76" ht="16.5">
      <c r="A91" s="18">
        <v>53</v>
      </c>
      <c r="B91" s="4">
        <v>-0.4933396757856654</v>
      </c>
      <c r="C91" s="11">
        <v>169.5704965161943</v>
      </c>
      <c r="D91" s="4">
        <v>-1.857988197278325</v>
      </c>
      <c r="E91" s="4">
        <f t="shared" si="60"/>
        <v>1.9223694173935106</v>
      </c>
      <c r="F91" s="83">
        <f t="shared" si="61"/>
        <v>0.930171436786548</v>
      </c>
      <c r="G91" s="86">
        <f t="shared" si="62"/>
        <v>319.7181174003192</v>
      </c>
      <c r="H91" s="88">
        <f t="shared" si="63"/>
        <v>3.50315945751275</v>
      </c>
      <c r="I91" s="88">
        <f t="shared" si="64"/>
        <v>3.6245475699147023</v>
      </c>
      <c r="J91" s="57">
        <f t="shared" si="65"/>
        <v>0.9063170471402932</v>
      </c>
      <c r="K91" s="11">
        <f t="shared" si="66"/>
        <v>51.19293681777558</v>
      </c>
      <c r="L91" s="11">
        <f t="shared" si="67"/>
        <v>2727.016596200946</v>
      </c>
      <c r="M91" s="15">
        <f t="shared" si="68"/>
        <v>175.568794986031</v>
      </c>
      <c r="N91" s="11">
        <f t="shared" si="69"/>
        <v>13645.016557966066</v>
      </c>
      <c r="O91" s="11">
        <f t="shared" si="70"/>
        <v>16641.74863921064</v>
      </c>
      <c r="P91" s="11">
        <f t="shared" si="71"/>
        <v>18.511459062230283</v>
      </c>
      <c r="Q91" s="121">
        <f t="shared" si="72"/>
        <v>33259.054984243696</v>
      </c>
      <c r="R91" s="90">
        <f t="shared" si="88"/>
        <v>0.26237624144073163</v>
      </c>
      <c r="S91" s="28"/>
      <c r="T91" s="79">
        <f t="shared" si="73"/>
        <v>1.0310007128231997</v>
      </c>
      <c r="U91" s="80">
        <f t="shared" si="74"/>
        <v>0.9581144640414481</v>
      </c>
      <c r="V91" s="80">
        <f t="shared" si="75"/>
        <v>0.9063170471402932</v>
      </c>
      <c r="W91" s="80">
        <f t="shared" si="76"/>
        <v>0.879343084942933</v>
      </c>
      <c r="X91" s="81">
        <f t="shared" si="77"/>
        <v>0.879479584473109</v>
      </c>
      <c r="Y91" s="165">
        <f t="shared" si="78"/>
        <v>17665.77576118083</v>
      </c>
      <c r="Z91" s="165">
        <f t="shared" si="79"/>
        <v>16932.932804795193</v>
      </c>
      <c r="AA91" s="165">
        <f t="shared" si="80"/>
        <v>16394.167055679103</v>
      </c>
      <c r="AB91" s="165">
        <f t="shared" si="81"/>
        <v>16107.201947924646</v>
      </c>
      <c r="AC91" s="165">
        <f t="shared" si="82"/>
        <v>16108.665626473427</v>
      </c>
      <c r="AD91" s="72">
        <f t="shared" si="83"/>
        <v>21.739720115853604</v>
      </c>
      <c r="AE91" s="73">
        <f t="shared" si="84"/>
        <v>19.335465958169213</v>
      </c>
      <c r="AF91" s="73">
        <f t="shared" si="85"/>
        <v>17.70707203618722</v>
      </c>
      <c r="AG91" s="73">
        <f t="shared" si="86"/>
        <v>16.885462506736403</v>
      </c>
      <c r="AH91" s="74">
        <f t="shared" si="87"/>
        <v>16.88957469420499</v>
      </c>
      <c r="AI91" s="28"/>
      <c r="BX91"/>
    </row>
    <row r="92" spans="1:76" ht="16.5">
      <c r="A92" s="18">
        <v>54</v>
      </c>
      <c r="B92" s="4">
        <v>-0.4787903408554657</v>
      </c>
      <c r="C92" s="11">
        <v>157.24990032700651</v>
      </c>
      <c r="D92" s="4">
        <v>-1.9528091483623131</v>
      </c>
      <c r="E92" s="4">
        <f t="shared" si="60"/>
        <v>2.010647597274081</v>
      </c>
      <c r="F92" s="83">
        <f t="shared" si="61"/>
        <v>0.902739270997814</v>
      </c>
      <c r="G92" s="86">
        <f t="shared" si="62"/>
        <v>296.4881457968541</v>
      </c>
      <c r="H92" s="88">
        <f t="shared" si="63"/>
        <v>3.6819404164267033</v>
      </c>
      <c r="I92" s="88">
        <f t="shared" si="64"/>
        <v>3.7909924058903246</v>
      </c>
      <c r="J92" s="57">
        <f t="shared" si="65"/>
        <v>0.9479365291151777</v>
      </c>
      <c r="K92" s="11">
        <f t="shared" si="66"/>
        <v>48.21794722164761</v>
      </c>
      <c r="L92" s="11">
        <f t="shared" si="67"/>
        <v>2533.4381237562807</v>
      </c>
      <c r="M92" s="15">
        <f t="shared" si="68"/>
        <v>193.94609002733438</v>
      </c>
      <c r="N92" s="11">
        <f t="shared" si="69"/>
        <v>14781.42799840634</v>
      </c>
      <c r="O92" s="11">
        <f t="shared" si="70"/>
        <v>17030.935689006532</v>
      </c>
      <c r="P92" s="11">
        <f t="shared" si="71"/>
        <v>19.69640136066223</v>
      </c>
      <c r="Q92" s="121">
        <f t="shared" si="72"/>
        <v>34607.6622497788</v>
      </c>
      <c r="R92" s="90">
        <f t="shared" si="88"/>
        <v>0.27301522398784234</v>
      </c>
      <c r="S92" s="28"/>
      <c r="T92" s="79">
        <f t="shared" si="73"/>
        <v>1.0545631384667125</v>
      </c>
      <c r="U92" s="80">
        <f t="shared" si="74"/>
        <v>0.9922346793577685</v>
      </c>
      <c r="V92" s="80">
        <f t="shared" si="75"/>
        <v>0.9479365291151777</v>
      </c>
      <c r="W92" s="80">
        <f t="shared" si="76"/>
        <v>0.9242648029352368</v>
      </c>
      <c r="X92" s="81">
        <f t="shared" si="77"/>
        <v>0.9228081854113345</v>
      </c>
      <c r="Y92" s="165">
        <f t="shared" si="78"/>
        <v>17896.81969003634</v>
      </c>
      <c r="Z92" s="165">
        <f t="shared" si="79"/>
        <v>17279.51792931026</v>
      </c>
      <c r="AA92" s="165">
        <f t="shared" si="80"/>
        <v>16828.297014131567</v>
      </c>
      <c r="AB92" s="165">
        <f t="shared" si="81"/>
        <v>16582.63381232949</v>
      </c>
      <c r="AC92" s="165">
        <f t="shared" si="82"/>
        <v>16567.40999922501</v>
      </c>
      <c r="AD92" s="72">
        <f t="shared" si="83"/>
        <v>22.54518605934092</v>
      </c>
      <c r="AE92" s="73">
        <f t="shared" si="84"/>
        <v>20.44453986721826</v>
      </c>
      <c r="AF92" s="73">
        <f t="shared" si="85"/>
        <v>19.010233279066874</v>
      </c>
      <c r="AG92" s="73">
        <f t="shared" si="86"/>
        <v>18.263763157428592</v>
      </c>
      <c r="AH92" s="74">
        <f t="shared" si="87"/>
        <v>18.218284440256497</v>
      </c>
      <c r="AI92" s="28"/>
      <c r="BX92"/>
    </row>
    <row r="93" spans="1:76" ht="16.5">
      <c r="A93" s="11">
        <f>J26</f>
        <v>55.21613681534294</v>
      </c>
      <c r="B93" s="4">
        <v>-0.4635021370273096</v>
      </c>
      <c r="C93" s="11">
        <v>140.2893426549694</v>
      </c>
      <c r="D93" s="4">
        <v>-2.0562244163677725</v>
      </c>
      <c r="E93" s="4">
        <f t="shared" si="60"/>
        <v>2.1078171366358776</v>
      </c>
      <c r="F93" s="83">
        <f t="shared" si="61"/>
        <v>0.8739139986373973</v>
      </c>
      <c r="G93" s="86">
        <f t="shared" si="62"/>
        <v>264.509719830251</v>
      </c>
      <c r="H93" s="88">
        <f t="shared" si="63"/>
        <v>3.8769256023903322</v>
      </c>
      <c r="I93" s="88">
        <f t="shared" si="64"/>
        <v>3.9742015303056846</v>
      </c>
      <c r="J93" s="57">
        <f t="shared" si="65"/>
        <v>0.9937479164528793</v>
      </c>
      <c r="K93" s="11">
        <f t="shared" si="66"/>
        <v>45.18782500886292</v>
      </c>
      <c r="L93" s="11">
        <f t="shared" si="67"/>
        <v>2322.1874280824754</v>
      </c>
      <c r="M93" s="15">
        <f t="shared" si="68"/>
        <v>215.03168115202917</v>
      </c>
      <c r="N93" s="11">
        <f t="shared" si="69"/>
        <v>16073.108706051926</v>
      </c>
      <c r="O93" s="11">
        <f t="shared" si="70"/>
        <v>17447.607731113723</v>
      </c>
      <c r="P93" s="11">
        <f t="shared" si="71"/>
        <v>21.035884976934064</v>
      </c>
      <c r="Q93" s="121">
        <f t="shared" si="72"/>
        <v>36124.15925638595</v>
      </c>
      <c r="R93" s="90">
        <f>Q93*J$29*(A93-A92)</f>
        <v>0.3465730476414434</v>
      </c>
      <c r="S93" s="28"/>
      <c r="T93" s="79">
        <f t="shared" si="73"/>
        <v>1.079955082444766</v>
      </c>
      <c r="U93" s="80">
        <f t="shared" si="74"/>
        <v>1.0297343342481344</v>
      </c>
      <c r="V93" s="80">
        <f t="shared" si="75"/>
        <v>0.9937479164528793</v>
      </c>
      <c r="W93" s="80">
        <f t="shared" si="76"/>
        <v>0.9735755476968652</v>
      </c>
      <c r="X93" s="81">
        <f t="shared" si="77"/>
        <v>0.9702041413980285</v>
      </c>
      <c r="Y93" s="165">
        <f t="shared" si="78"/>
        <v>18142.775960917166</v>
      </c>
      <c r="Z93" s="165">
        <f t="shared" si="79"/>
        <v>17653.27976471932</v>
      </c>
      <c r="AA93" s="165">
        <f t="shared" si="80"/>
        <v>17294.742901073892</v>
      </c>
      <c r="AB93" s="165">
        <f t="shared" si="81"/>
        <v>17090.772683838968</v>
      </c>
      <c r="AC93" s="165">
        <f t="shared" si="82"/>
        <v>17056.467345019257</v>
      </c>
      <c r="AD93" s="72">
        <f t="shared" si="83"/>
        <v>23.428632255346194</v>
      </c>
      <c r="AE93" s="73">
        <f t="shared" si="84"/>
        <v>21.696820338065685</v>
      </c>
      <c r="AF93" s="73">
        <f t="shared" si="85"/>
        <v>20.494397216927474</v>
      </c>
      <c r="AG93" s="73">
        <f t="shared" si="86"/>
        <v>19.834443588220132</v>
      </c>
      <c r="AH93" s="74">
        <f t="shared" si="87"/>
        <v>19.725131486110822</v>
      </c>
      <c r="AI93" s="28"/>
      <c r="BX93"/>
    </row>
    <row r="94" spans="1:76" ht="6" customHeight="1">
      <c r="A94" s="11"/>
      <c r="B94" s="4"/>
      <c r="D94" s="4"/>
      <c r="E94" s="4"/>
      <c r="F94" s="83"/>
      <c r="G94" s="86"/>
      <c r="H94" s="88"/>
      <c r="I94" s="88"/>
      <c r="J94" s="57"/>
      <c r="L94" s="11"/>
      <c r="M94" s="15"/>
      <c r="N94" s="11"/>
      <c r="O94" s="11"/>
      <c r="P94" s="11"/>
      <c r="Q94" s="121"/>
      <c r="R94" s="90"/>
      <c r="S94" s="28"/>
      <c r="T94" s="79"/>
      <c r="U94" s="80"/>
      <c r="V94" s="80"/>
      <c r="W94" s="80"/>
      <c r="X94" s="81"/>
      <c r="Y94" s="165"/>
      <c r="Z94" s="165"/>
      <c r="AA94" s="165"/>
      <c r="AB94" s="165"/>
      <c r="AC94" s="165"/>
      <c r="AD94" s="64"/>
      <c r="AE94" s="65"/>
      <c r="AF94" s="65"/>
      <c r="AG94" s="65"/>
      <c r="AH94" s="66"/>
      <c r="AI94" s="28"/>
      <c r="BX94"/>
    </row>
    <row r="95" spans="1:76" ht="16.5">
      <c r="A95" s="11">
        <f>I27</f>
        <v>66.20526072708387</v>
      </c>
      <c r="B95" s="4">
        <v>-0.3268494801752908</v>
      </c>
      <c r="C95" s="11">
        <v>103.8678988060364</v>
      </c>
      <c r="D95" s="4">
        <v>-1.4315649793308114</v>
      </c>
      <c r="E95" s="4">
        <f aca="true" t="shared" si="89" ref="E95:E102">SQRT(B95^2+D95^2)</f>
        <v>1.468403511551673</v>
      </c>
      <c r="F95" s="83">
        <f aca="true" t="shared" si="90" ref="F95:F102">-B95*$E$29*(1-$E$33)/$E$30/$E$34</f>
        <v>0.6162610986100227</v>
      </c>
      <c r="G95" s="86">
        <f aca="true" t="shared" si="91" ref="G95:G102">C95*$E$29*(1-$E$33)/$E$30/$E$34</f>
        <v>195.83860250961374</v>
      </c>
      <c r="H95" s="88">
        <f aca="true" t="shared" si="92" ref="H95:H102">-D95*$E$29*(1-$E$33)/$E$30/$E$34</f>
        <v>2.699156218394176</v>
      </c>
      <c r="I95" s="88">
        <f aca="true" t="shared" si="93" ref="I95:I102">E95*$E$29*(1-$E$33)/$E$30/$E$34</f>
        <v>2.7686137384900738</v>
      </c>
      <c r="J95" s="57">
        <f aca="true" t="shared" si="94" ref="J95:J102">E95*E$29/E$30</f>
        <v>0.6922910459137448</v>
      </c>
      <c r="K95" s="11">
        <f aca="true" t="shared" si="95" ref="K95:K102">L$33*E$14/120*F95^2/E$8*E$7*E$10*(E$10-1)*E$5/E$6</f>
        <v>22.470542301893822</v>
      </c>
      <c r="L95" s="11">
        <f aca="true" t="shared" si="96" ref="L95:L102">L$34*E$14/6*F95^2/E$9*E$7*E$5/E$6*(1+(G95*E$5/F95)^2/15)</f>
        <v>1169.681047836674</v>
      </c>
      <c r="M95" s="15">
        <f aca="true" t="shared" si="97" ref="M95:M102">L$35*E$14/8*H95^2/E$9*E$7*E$6/E$5</f>
        <v>104.22779687101111</v>
      </c>
      <c r="N95" s="11">
        <f aca="true" t="shared" si="98" ref="N95:N102">E$14*E$15*(E$12/E$11)^2*J95*(1-E$33)/E$34^2*(E$20/2/PI())^2/E$19*LN((E$18+E$19*J95)/(E$18+E$19*E$33*J95))</f>
        <v>8394.11651575568</v>
      </c>
      <c r="O95" s="11">
        <f aca="true" t="shared" si="99" ref="O95:O102">(Y95+Z95+AA95+AB95+AC95)/5</f>
        <v>14120.749575596792</v>
      </c>
      <c r="P95" s="11">
        <f aca="true" t="shared" si="100" ref="P95:P102">(AD95+AE95+AF95+AG95+AH95)/5</f>
        <v>12.01281376131606</v>
      </c>
      <c r="Q95" s="121">
        <f aca="true" t="shared" si="101" ref="Q95:Q102">SUM(K95:P95)</f>
        <v>23823.25829212337</v>
      </c>
      <c r="R95" s="90">
        <f>Q95*J$29*(A96-A95)</f>
        <v>0.14936210838188058</v>
      </c>
      <c r="S95" s="28"/>
      <c r="T95" s="79">
        <f aca="true" t="shared" si="102" ref="T95:T102">SQRT(($B95-$C95*0.8*$E$5)^2+$D95^2)*$E$29/$E$30</f>
        <v>0.7578449189758786</v>
      </c>
      <c r="U95" s="80">
        <f aca="true" t="shared" si="103" ref="U95:U102">SQRT(($B95-$C95*0.4*$E$5)^2+$D95^2)*$E$29/$E$30</f>
        <v>0.7195254545805567</v>
      </c>
      <c r="V95" s="80">
        <f aca="true" t="shared" si="104" ref="V95:V102">SQRT(($B95)^2+$D95^2)*$E$29/$E$30</f>
        <v>0.6922910459137448</v>
      </c>
      <c r="W95" s="80">
        <f aca="true" t="shared" si="105" ref="W95:W102">SQRT(($B95+$C95*0.4*$E$5)^2+$D95^2)*$E$29/$E$30</f>
        <v>0.6774798584508074</v>
      </c>
      <c r="X95" s="81">
        <f aca="true" t="shared" si="106" ref="X95:X102">SQRT(($B95+$C95*0.8*$E$5)^2+$D95^2)*$E$29/$E$30</f>
        <v>0.675909075876256</v>
      </c>
      <c r="Y95" s="165">
        <f aca="true" t="shared" si="107" ref="Y95:AC102">$L$36*$E$14*$E$15*$E$17/$E$34*2/3*$E$21/PI()*($E$22*$E$23*LN((T95+$E$23)/($E$33*T95+$E$23))+$E$24*T95*(1-$E$33)+$E$25*T95^2/2*(1-$E$33^2))</f>
        <v>14753.647869885197</v>
      </c>
      <c r="Z95" s="165">
        <f t="shared" si="107"/>
        <v>14303.513988485827</v>
      </c>
      <c r="AA95" s="165">
        <f t="shared" si="107"/>
        <v>13975.945262371977</v>
      </c>
      <c r="AB95" s="165">
        <f t="shared" si="107"/>
        <v>13794.976770105875</v>
      </c>
      <c r="AC95" s="165">
        <f t="shared" si="107"/>
        <v>13775.663987135089</v>
      </c>
      <c r="AD95" s="72">
        <f aca="true" t="shared" si="108" ref="AD95:AH102">1/9/PI()*$E$21/$E$34*$E$28^2*T95*(3*T95+4*$E$27)/($E$26*$E$27*$E$14*$E$15*$E$17*16*$E$5^2*$E$6^2)</f>
        <v>13.408762797076932</v>
      </c>
      <c r="AE95" s="73">
        <f t="shared" si="108"/>
        <v>12.388307244199062</v>
      </c>
      <c r="AF95" s="73">
        <f t="shared" si="108"/>
        <v>11.685223849691926</v>
      </c>
      <c r="AG95" s="73">
        <f t="shared" si="108"/>
        <v>11.310593153942618</v>
      </c>
      <c r="AH95" s="74">
        <f t="shared" si="108"/>
        <v>11.271181761669759</v>
      </c>
      <c r="AI95" s="28"/>
      <c r="BX95"/>
    </row>
    <row r="96" spans="1:76" ht="16.5">
      <c r="A96" s="18">
        <v>67</v>
      </c>
      <c r="B96" s="4">
        <v>-0.3163960523853646</v>
      </c>
      <c r="C96" s="11">
        <v>116.97068031077002</v>
      </c>
      <c r="D96" s="4">
        <v>-1.5031113978909254</v>
      </c>
      <c r="E96" s="4">
        <f t="shared" si="89"/>
        <v>1.536050238903225</v>
      </c>
      <c r="F96" s="83">
        <f t="shared" si="90"/>
        <v>0.5965515953530325</v>
      </c>
      <c r="G96" s="86">
        <f t="shared" si="91"/>
        <v>220.54335198825362</v>
      </c>
      <c r="H96" s="88">
        <f t="shared" si="92"/>
        <v>2.8340540144066466</v>
      </c>
      <c r="I96" s="88">
        <f t="shared" si="93"/>
        <v>2.8961588289478666</v>
      </c>
      <c r="J96" s="57">
        <f t="shared" si="94"/>
        <v>0.7241836580346195</v>
      </c>
      <c r="K96" s="11">
        <f t="shared" si="95"/>
        <v>21.056203491726436</v>
      </c>
      <c r="L96" s="11">
        <f t="shared" si="96"/>
        <v>1149.297339175815</v>
      </c>
      <c r="M96" s="15">
        <f t="shared" si="97"/>
        <v>114.90627940859433</v>
      </c>
      <c r="N96" s="11">
        <f t="shared" si="98"/>
        <v>9110.583327688857</v>
      </c>
      <c r="O96" s="11">
        <f t="shared" si="99"/>
        <v>14531.71633430527</v>
      </c>
      <c r="P96" s="11">
        <f t="shared" si="100"/>
        <v>12.920780907252993</v>
      </c>
      <c r="Q96" s="121">
        <f t="shared" si="101"/>
        <v>24940.480264977516</v>
      </c>
      <c r="R96" s="90">
        <f aca="true" t="shared" si="109" ref="R96:R101">Q96*J$29</f>
        <v>0.19675211682206936</v>
      </c>
      <c r="S96" s="28"/>
      <c r="T96" s="79">
        <f t="shared" si="102"/>
        <v>0.7965805977233209</v>
      </c>
      <c r="U96" s="80">
        <f t="shared" si="103"/>
        <v>0.7536409330928323</v>
      </c>
      <c r="V96" s="80">
        <f t="shared" si="104"/>
        <v>0.7241836580346195</v>
      </c>
      <c r="W96" s="80">
        <f t="shared" si="105"/>
        <v>0.7098891408264713</v>
      </c>
      <c r="X96" s="81">
        <f t="shared" si="106"/>
        <v>0.7116716385594302</v>
      </c>
      <c r="Y96" s="165">
        <f t="shared" si="107"/>
        <v>15196.752784031283</v>
      </c>
      <c r="Z96" s="165">
        <f t="shared" si="107"/>
        <v>14704.853204916124</v>
      </c>
      <c r="AA96" s="165">
        <f t="shared" si="107"/>
        <v>14358.890304066548</v>
      </c>
      <c r="AB96" s="165">
        <f t="shared" si="107"/>
        <v>14188.361856467995</v>
      </c>
      <c r="AC96" s="165">
        <f t="shared" si="107"/>
        <v>14209.723522044404</v>
      </c>
      <c r="AD96" s="72">
        <f t="shared" si="108"/>
        <v>14.477375009703442</v>
      </c>
      <c r="AE96" s="73">
        <f t="shared" si="108"/>
        <v>13.295028377696966</v>
      </c>
      <c r="AF96" s="73">
        <f t="shared" si="108"/>
        <v>12.510408639296802</v>
      </c>
      <c r="AG96" s="73">
        <f t="shared" si="108"/>
        <v>12.137429909692731</v>
      </c>
      <c r="AH96" s="74">
        <f t="shared" si="108"/>
        <v>12.183662599875014</v>
      </c>
      <c r="AI96" s="28"/>
      <c r="BX96"/>
    </row>
    <row r="97" spans="1:76" ht="16.5">
      <c r="A97" s="18">
        <v>68</v>
      </c>
      <c r="B97" s="4">
        <v>-0.3060447855019479</v>
      </c>
      <c r="C97" s="11">
        <v>124.38540401609183</v>
      </c>
      <c r="D97" s="4">
        <v>-1.6262178333673354</v>
      </c>
      <c r="E97" s="4">
        <f t="shared" si="89"/>
        <v>1.6547651955171416</v>
      </c>
      <c r="F97" s="83">
        <f t="shared" si="90"/>
        <v>0.5770347122355841</v>
      </c>
      <c r="G97" s="86">
        <f t="shared" si="91"/>
        <v>234.5235050975099</v>
      </c>
      <c r="H97" s="88">
        <f t="shared" si="92"/>
        <v>3.0661660775250255</v>
      </c>
      <c r="I97" s="88">
        <f t="shared" si="93"/>
        <v>3.1199909413474267</v>
      </c>
      <c r="J97" s="57">
        <f t="shared" si="94"/>
        <v>0.7801528114950381</v>
      </c>
      <c r="K97" s="11">
        <f t="shared" si="95"/>
        <v>19.70098430619291</v>
      </c>
      <c r="L97" s="11">
        <f t="shared" si="96"/>
        <v>1115.1165276888519</v>
      </c>
      <c r="M97" s="15">
        <f t="shared" si="97"/>
        <v>134.49894112868304</v>
      </c>
      <c r="N97" s="11">
        <f t="shared" si="98"/>
        <v>10425.306157827003</v>
      </c>
      <c r="O97" s="11">
        <f t="shared" si="99"/>
        <v>15186.950758310904</v>
      </c>
      <c r="P97" s="11">
        <f t="shared" si="100"/>
        <v>14.474668226015396</v>
      </c>
      <c r="Q97" s="121">
        <f t="shared" si="101"/>
        <v>26896.04803748765</v>
      </c>
      <c r="R97" s="90">
        <f t="shared" si="109"/>
        <v>0.21217932972023823</v>
      </c>
      <c r="S97" s="28"/>
      <c r="T97" s="79">
        <f t="shared" si="102"/>
        <v>0.8524046988439026</v>
      </c>
      <c r="U97" s="80">
        <f t="shared" si="103"/>
        <v>0.8090692725202834</v>
      </c>
      <c r="V97" s="80">
        <f t="shared" si="104"/>
        <v>0.7801528114950381</v>
      </c>
      <c r="W97" s="80">
        <f t="shared" si="105"/>
        <v>0.7672872573244652</v>
      </c>
      <c r="X97" s="81">
        <f t="shared" si="106"/>
        <v>0.7712762576685238</v>
      </c>
      <c r="Y97" s="165">
        <f t="shared" si="107"/>
        <v>15815.97889913748</v>
      </c>
      <c r="Z97" s="165">
        <f t="shared" si="107"/>
        <v>15337.204109219769</v>
      </c>
      <c r="AA97" s="165">
        <f t="shared" si="107"/>
        <v>15010.23776555907</v>
      </c>
      <c r="AB97" s="165">
        <f t="shared" si="107"/>
        <v>14862.730380422881</v>
      </c>
      <c r="AC97" s="165">
        <f t="shared" si="107"/>
        <v>14908.602637215323</v>
      </c>
      <c r="AD97" s="72">
        <f t="shared" si="108"/>
        <v>16.082975176309954</v>
      </c>
      <c r="AE97" s="73">
        <f t="shared" si="108"/>
        <v>14.829849397638984</v>
      </c>
      <c r="AF97" s="73">
        <f t="shared" si="108"/>
        <v>14.019625221285878</v>
      </c>
      <c r="AG97" s="73">
        <f t="shared" si="108"/>
        <v>13.665815769997291</v>
      </c>
      <c r="AH97" s="74">
        <f t="shared" si="108"/>
        <v>13.77507556484487</v>
      </c>
      <c r="AI97" s="28"/>
      <c r="BX97"/>
    </row>
    <row r="98" spans="1:76" ht="16.5">
      <c r="A98" s="18">
        <v>69</v>
      </c>
      <c r="B98" s="4">
        <v>-0.29536781640040477</v>
      </c>
      <c r="C98" s="11">
        <v>126.9506343646594</v>
      </c>
      <c r="D98" s="4">
        <v>-1.7448986966969309</v>
      </c>
      <c r="E98" s="4">
        <f t="shared" si="89"/>
        <v>1.7697213364537907</v>
      </c>
      <c r="F98" s="83">
        <f t="shared" si="90"/>
        <v>0.556903731134395</v>
      </c>
      <c r="G98" s="86">
        <f t="shared" si="91"/>
        <v>239.36014021147182</v>
      </c>
      <c r="H98" s="88">
        <f t="shared" si="92"/>
        <v>3.289933908455208</v>
      </c>
      <c r="I98" s="88">
        <f t="shared" si="93"/>
        <v>3.3367359631464355</v>
      </c>
      <c r="J98" s="57">
        <f t="shared" si="94"/>
        <v>0.834349840048276</v>
      </c>
      <c r="K98" s="11">
        <f t="shared" si="95"/>
        <v>18.350347854613453</v>
      </c>
      <c r="L98" s="11">
        <f t="shared" si="96"/>
        <v>1064.081313745267</v>
      </c>
      <c r="M98" s="15">
        <f t="shared" si="97"/>
        <v>154.84666749614806</v>
      </c>
      <c r="N98" s="11">
        <f t="shared" si="98"/>
        <v>11765.950562946271</v>
      </c>
      <c r="O98" s="11">
        <f t="shared" si="99"/>
        <v>15786.148694207706</v>
      </c>
      <c r="P98" s="11">
        <f t="shared" si="100"/>
        <v>16.021267622503654</v>
      </c>
      <c r="Q98" s="121">
        <f t="shared" si="101"/>
        <v>28805.398853872506</v>
      </c>
      <c r="R98" s="90">
        <f t="shared" si="109"/>
        <v>0.2272419432260093</v>
      </c>
      <c r="S98" s="28"/>
      <c r="T98" s="79">
        <f t="shared" si="102"/>
        <v>0.9029279826008083</v>
      </c>
      <c r="U98" s="80">
        <f t="shared" si="103"/>
        <v>0.8614775705038913</v>
      </c>
      <c r="V98" s="80">
        <f t="shared" si="104"/>
        <v>0.834349840048276</v>
      </c>
      <c r="W98" s="80">
        <f t="shared" si="105"/>
        <v>0.8229623898365316</v>
      </c>
      <c r="X98" s="81">
        <f t="shared" si="106"/>
        <v>0.8279649285881031</v>
      </c>
      <c r="Y98" s="165">
        <f t="shared" si="107"/>
        <v>16358.360141374795</v>
      </c>
      <c r="Z98" s="165">
        <f t="shared" si="107"/>
        <v>15914.593891320506</v>
      </c>
      <c r="AA98" s="165">
        <f t="shared" si="107"/>
        <v>15618.090115358924</v>
      </c>
      <c r="AB98" s="165">
        <f t="shared" si="107"/>
        <v>15492.125645961747</v>
      </c>
      <c r="AC98" s="165">
        <f t="shared" si="107"/>
        <v>15547.573677022556</v>
      </c>
      <c r="AD98" s="72">
        <f t="shared" si="108"/>
        <v>17.602850524041546</v>
      </c>
      <c r="AE98" s="73">
        <f t="shared" si="108"/>
        <v>16.351240327952173</v>
      </c>
      <c r="AF98" s="73">
        <f t="shared" si="108"/>
        <v>15.555215581356313</v>
      </c>
      <c r="AG98" s="73">
        <f t="shared" si="108"/>
        <v>15.226514562409863</v>
      </c>
      <c r="AH98" s="74">
        <f t="shared" si="108"/>
        <v>15.370517116758373</v>
      </c>
      <c r="AI98" s="28"/>
      <c r="BX98"/>
    </row>
    <row r="99" spans="1:76" ht="16.5">
      <c r="A99" s="18">
        <v>70</v>
      </c>
      <c r="B99" s="4">
        <v>-0.2833675986125561</v>
      </c>
      <c r="C99" s="11">
        <v>125.64999275201042</v>
      </c>
      <c r="D99" s="4">
        <v>-1.8630264814476016</v>
      </c>
      <c r="E99" s="4">
        <f t="shared" si="89"/>
        <v>1.8844534662650807</v>
      </c>
      <c r="F99" s="83">
        <f t="shared" si="90"/>
        <v>0.5342778196795779</v>
      </c>
      <c r="G99" s="86">
        <f t="shared" si="91"/>
        <v>236.90783455481576</v>
      </c>
      <c r="H99" s="88">
        <f t="shared" si="92"/>
        <v>3.5126589327317492</v>
      </c>
      <c r="I99" s="88">
        <f t="shared" si="93"/>
        <v>3.553058621286977</v>
      </c>
      <c r="J99" s="57">
        <f t="shared" si="94"/>
        <v>0.8884412566937164</v>
      </c>
      <c r="K99" s="11">
        <f t="shared" si="95"/>
        <v>16.88956001851972</v>
      </c>
      <c r="L99" s="11">
        <f t="shared" si="96"/>
        <v>993.5969617402442</v>
      </c>
      <c r="M99" s="15">
        <f t="shared" si="97"/>
        <v>176.52226155214058</v>
      </c>
      <c r="N99" s="11">
        <f t="shared" si="98"/>
        <v>13167.986027683235</v>
      </c>
      <c r="O99" s="11">
        <f t="shared" si="99"/>
        <v>16355.688310051855</v>
      </c>
      <c r="P99" s="11">
        <f t="shared" si="100"/>
        <v>17.610242519246583</v>
      </c>
      <c r="Q99" s="121">
        <f t="shared" si="101"/>
        <v>30728.29336356524</v>
      </c>
      <c r="R99" s="90">
        <f t="shared" si="109"/>
        <v>0.24241140111888126</v>
      </c>
      <c r="S99" s="28"/>
      <c r="T99" s="79">
        <f t="shared" si="102"/>
        <v>0.9508351585366376</v>
      </c>
      <c r="U99" s="80">
        <f t="shared" si="103"/>
        <v>0.9129175935000206</v>
      </c>
      <c r="V99" s="80">
        <f t="shared" si="104"/>
        <v>0.8884412566937164</v>
      </c>
      <c r="W99" s="80">
        <f t="shared" si="105"/>
        <v>0.8785303073487658</v>
      </c>
      <c r="X99" s="81">
        <f t="shared" si="106"/>
        <v>0.8836749603368248</v>
      </c>
      <c r="Y99" s="165">
        <f t="shared" si="107"/>
        <v>16858.156597034944</v>
      </c>
      <c r="Z99" s="165">
        <f t="shared" si="107"/>
        <v>16463.703860611393</v>
      </c>
      <c r="AA99" s="165">
        <f t="shared" si="107"/>
        <v>16204.502382845765</v>
      </c>
      <c r="AB99" s="165">
        <f t="shared" si="107"/>
        <v>16098.484105606041</v>
      </c>
      <c r="AC99" s="165">
        <f t="shared" si="107"/>
        <v>16153.594604161133</v>
      </c>
      <c r="AD99" s="72">
        <f t="shared" si="108"/>
        <v>19.10259598726822</v>
      </c>
      <c r="AE99" s="73">
        <f t="shared" si="108"/>
        <v>17.910872959691172</v>
      </c>
      <c r="AF99" s="73">
        <f t="shared" si="108"/>
        <v>17.1605669147883</v>
      </c>
      <c r="AG99" s="73">
        <f t="shared" si="108"/>
        <v>16.86098633644322</v>
      </c>
      <c r="AH99" s="74">
        <f t="shared" si="108"/>
        <v>17.016190398041996</v>
      </c>
      <c r="AI99" s="28"/>
      <c r="BX99"/>
    </row>
    <row r="100" spans="1:76" ht="16.5">
      <c r="A100" s="18">
        <v>71</v>
      </c>
      <c r="B100" s="4">
        <v>-0.2699889150048618</v>
      </c>
      <c r="C100" s="11">
        <v>120.61920848467275</v>
      </c>
      <c r="D100" s="4">
        <v>-1.9834856507491039</v>
      </c>
      <c r="E100" s="4">
        <f t="shared" si="89"/>
        <v>2.0017765462091663</v>
      </c>
      <c r="F100" s="83">
        <f t="shared" si="90"/>
        <v>0.5090528682627609</v>
      </c>
      <c r="G100" s="86">
        <f t="shared" si="91"/>
        <v>227.42250008894226</v>
      </c>
      <c r="H100" s="88">
        <f t="shared" si="92"/>
        <v>3.739779685598122</v>
      </c>
      <c r="I100" s="88">
        <f t="shared" si="93"/>
        <v>3.7742664081247534</v>
      </c>
      <c r="J100" s="57">
        <f t="shared" si="94"/>
        <v>0.9437541983241033</v>
      </c>
      <c r="K100" s="11">
        <f t="shared" si="95"/>
        <v>15.332388806198802</v>
      </c>
      <c r="L100" s="11">
        <f t="shared" si="96"/>
        <v>905.2188599646719</v>
      </c>
      <c r="M100" s="15">
        <f t="shared" si="97"/>
        <v>200.08731326596288</v>
      </c>
      <c r="N100" s="11">
        <f t="shared" si="98"/>
        <v>14665.619282084395</v>
      </c>
      <c r="O100" s="11">
        <f t="shared" si="99"/>
        <v>16913.461319432565</v>
      </c>
      <c r="P100" s="11">
        <f t="shared" si="100"/>
        <v>19.285943284644254</v>
      </c>
      <c r="Q100" s="121">
        <f t="shared" si="101"/>
        <v>32719.00510683844</v>
      </c>
      <c r="R100" s="90">
        <f t="shared" si="109"/>
        <v>0.2581158601072498</v>
      </c>
      <c r="S100" s="28"/>
      <c r="T100" s="79">
        <f t="shared" si="102"/>
        <v>0.9979988794354097</v>
      </c>
      <c r="U100" s="80">
        <f t="shared" si="103"/>
        <v>0.9649303425133112</v>
      </c>
      <c r="V100" s="80">
        <f t="shared" si="104"/>
        <v>0.9437541983241033</v>
      </c>
      <c r="W100" s="80">
        <f t="shared" si="105"/>
        <v>0.9352785821395028</v>
      </c>
      <c r="X100" s="81">
        <f t="shared" si="106"/>
        <v>0.9398471598969586</v>
      </c>
      <c r="Y100" s="165">
        <f t="shared" si="107"/>
        <v>17337.44757553247</v>
      </c>
      <c r="Z100" s="165">
        <f t="shared" si="107"/>
        <v>17002.67865664726</v>
      </c>
      <c r="AA100" s="165">
        <f t="shared" si="107"/>
        <v>16785.12912316191</v>
      </c>
      <c r="AB100" s="165">
        <f t="shared" si="107"/>
        <v>16697.339331810756</v>
      </c>
      <c r="AC100" s="165">
        <f t="shared" si="107"/>
        <v>16744.71191001043</v>
      </c>
      <c r="AD100" s="72">
        <f t="shared" si="108"/>
        <v>20.634760083780783</v>
      </c>
      <c r="AE100" s="73">
        <f t="shared" si="108"/>
        <v>19.554703840425095</v>
      </c>
      <c r="AF100" s="73">
        <f t="shared" si="108"/>
        <v>18.877334199732687</v>
      </c>
      <c r="AG100" s="73">
        <f t="shared" si="108"/>
        <v>18.6093428419788</v>
      </c>
      <c r="AH100" s="74">
        <f t="shared" si="108"/>
        <v>18.75357545730391</v>
      </c>
      <c r="AI100" s="28"/>
      <c r="BX100"/>
    </row>
    <row r="101" spans="1:77" ht="16.5">
      <c r="A101" s="18">
        <v>72</v>
      </c>
      <c r="B101" s="4">
        <v>-0.25583793143957845</v>
      </c>
      <c r="C101" s="11">
        <v>111.28668841819632</v>
      </c>
      <c r="D101" s="4">
        <v>-2.108555433516901</v>
      </c>
      <c r="E101" s="4">
        <f t="shared" si="89"/>
        <v>2.1240195534356383</v>
      </c>
      <c r="F101" s="83">
        <f t="shared" si="90"/>
        <v>0.48237177740198617</v>
      </c>
      <c r="G101" s="86">
        <f t="shared" si="91"/>
        <v>209.82642171708002</v>
      </c>
      <c r="H101" s="88">
        <f t="shared" si="92"/>
        <v>3.975593558363235</v>
      </c>
      <c r="I101" s="88">
        <f t="shared" si="93"/>
        <v>4.004750513194699</v>
      </c>
      <c r="J101" s="57">
        <f t="shared" si="94"/>
        <v>1.0013866805830358</v>
      </c>
      <c r="K101" s="11">
        <f t="shared" si="95"/>
        <v>13.767269896172275</v>
      </c>
      <c r="L101" s="11">
        <f t="shared" si="96"/>
        <v>802.6948678243477</v>
      </c>
      <c r="M101" s="15">
        <f t="shared" si="97"/>
        <v>226.11609296139835</v>
      </c>
      <c r="N101" s="11">
        <f t="shared" si="98"/>
        <v>16292.571883860192</v>
      </c>
      <c r="O101" s="11">
        <f t="shared" si="99"/>
        <v>17472.1400644712</v>
      </c>
      <c r="P101" s="11">
        <f t="shared" si="100"/>
        <v>21.09016768529356</v>
      </c>
      <c r="Q101" s="121">
        <f t="shared" si="101"/>
        <v>34828.38034669861</v>
      </c>
      <c r="R101" s="90">
        <f t="shared" si="109"/>
        <v>0.2747564395670344</v>
      </c>
      <c r="S101" s="28"/>
      <c r="T101" s="79">
        <f t="shared" si="102"/>
        <v>1.0458173731052733</v>
      </c>
      <c r="U101" s="80">
        <f t="shared" si="103"/>
        <v>1.0187394404432921</v>
      </c>
      <c r="V101" s="80">
        <f t="shared" si="104"/>
        <v>1.0013866805830358</v>
      </c>
      <c r="W101" s="80">
        <f t="shared" si="105"/>
        <v>0.9942684182312198</v>
      </c>
      <c r="X101" s="81">
        <f t="shared" si="106"/>
        <v>0.9976037579336872</v>
      </c>
      <c r="Y101" s="165">
        <f t="shared" si="107"/>
        <v>17811.382732587208</v>
      </c>
      <c r="Z101" s="165">
        <f t="shared" si="107"/>
        <v>17544.445771801034</v>
      </c>
      <c r="AA101" s="165">
        <f t="shared" si="107"/>
        <v>17371.41259711523</v>
      </c>
      <c r="AB101" s="165">
        <f t="shared" si="107"/>
        <v>17299.976953308294</v>
      </c>
      <c r="AC101" s="165">
        <f t="shared" si="107"/>
        <v>17333.482267544237</v>
      </c>
      <c r="AD101" s="72">
        <f t="shared" si="108"/>
        <v>22.244608353984805</v>
      </c>
      <c r="AE101" s="73">
        <f t="shared" si="108"/>
        <v>21.32603229851894</v>
      </c>
      <c r="AF101" s="73">
        <f t="shared" si="108"/>
        <v>20.74694357277023</v>
      </c>
      <c r="AG101" s="73">
        <f t="shared" si="108"/>
        <v>20.511559587131334</v>
      </c>
      <c r="AH101" s="74">
        <f t="shared" si="108"/>
        <v>20.621694614062513</v>
      </c>
      <c r="AI101" s="28"/>
      <c r="BX101"/>
      <c r="BY101"/>
    </row>
    <row r="102" spans="1:77" ht="16.5">
      <c r="A102" s="53">
        <f>J27</f>
        <v>73.17120452647318</v>
      </c>
      <c r="B102" s="68">
        <v>-0.24045827362357386</v>
      </c>
      <c r="C102" s="53">
        <v>96.65180988093557</v>
      </c>
      <c r="D102" s="68">
        <v>-2.240046943380341</v>
      </c>
      <c r="E102" s="68">
        <f t="shared" si="89"/>
        <v>2.252915997080592</v>
      </c>
      <c r="F102" s="84">
        <f t="shared" si="90"/>
        <v>0.45337407235177724</v>
      </c>
      <c r="G102" s="53">
        <f t="shared" si="91"/>
        <v>182.23296701566926</v>
      </c>
      <c r="H102" s="68">
        <f t="shared" si="92"/>
        <v>4.223515330436655</v>
      </c>
      <c r="I102" s="68">
        <f t="shared" si="93"/>
        <v>4.247779395862534</v>
      </c>
      <c r="J102" s="58">
        <f t="shared" si="94"/>
        <v>1.062155980767583</v>
      </c>
      <c r="K102" s="89">
        <f t="shared" si="95"/>
        <v>12.161787367374139</v>
      </c>
      <c r="L102" s="53">
        <f t="shared" si="96"/>
        <v>685.2617234996907</v>
      </c>
      <c r="M102" s="67">
        <f t="shared" si="97"/>
        <v>255.1970595749397</v>
      </c>
      <c r="N102" s="53">
        <f t="shared" si="98"/>
        <v>18079.163062032316</v>
      </c>
      <c r="O102" s="53">
        <f t="shared" si="99"/>
        <v>18040.73736650621</v>
      </c>
      <c r="P102" s="124">
        <f t="shared" si="100"/>
        <v>23.063274932641168</v>
      </c>
      <c r="Q102" s="122">
        <f t="shared" si="101"/>
        <v>37095.58427391317</v>
      </c>
      <c r="R102" s="91">
        <f>Q102*J$29*(A102-A101)</f>
        <v>0.3427437620601148</v>
      </c>
      <c r="S102" s="52"/>
      <c r="T102" s="95">
        <f t="shared" si="102"/>
        <v>1.0953712087734098</v>
      </c>
      <c r="U102" s="96">
        <f t="shared" si="103"/>
        <v>1.075241198158654</v>
      </c>
      <c r="V102" s="96">
        <f t="shared" si="104"/>
        <v>1.062155980767583</v>
      </c>
      <c r="W102" s="96">
        <f t="shared" si="105"/>
        <v>1.0563773780225454</v>
      </c>
      <c r="X102" s="97">
        <f t="shared" si="106"/>
        <v>1.0580251160393037</v>
      </c>
      <c r="Y102" s="166">
        <f t="shared" si="107"/>
        <v>18290.61510675278</v>
      </c>
      <c r="Z102" s="166">
        <f t="shared" si="107"/>
        <v>18097.348011393475</v>
      </c>
      <c r="AA102" s="166">
        <f t="shared" si="107"/>
        <v>17970.691310964165</v>
      </c>
      <c r="AB102" s="166">
        <f t="shared" si="107"/>
        <v>17914.496069255627</v>
      </c>
      <c r="AC102" s="166">
        <f t="shared" si="107"/>
        <v>17930.53633416501</v>
      </c>
      <c r="AD102" s="75">
        <f t="shared" si="108"/>
        <v>23.972809825562923</v>
      </c>
      <c r="AE102" s="76">
        <f t="shared" si="108"/>
        <v>23.263414311237227</v>
      </c>
      <c r="AF102" s="76">
        <f t="shared" si="108"/>
        <v>22.80768053275856</v>
      </c>
      <c r="AG102" s="76">
        <f t="shared" si="108"/>
        <v>22.607776475251335</v>
      </c>
      <c r="AH102" s="77">
        <f t="shared" si="108"/>
        <v>22.664693518395786</v>
      </c>
      <c r="AI102" s="28"/>
      <c r="BX102"/>
      <c r="BY102"/>
    </row>
    <row r="103" spans="2:34" ht="8.25" customHeight="1">
      <c r="B103" s="15"/>
      <c r="D103" s="2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R103" s="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28"/>
      <c r="AE103" s="28"/>
      <c r="AF103" s="28"/>
      <c r="AG103" s="28"/>
      <c r="AH103" s="28"/>
    </row>
    <row r="104" spans="1:76" ht="16.5">
      <c r="A104" s="5"/>
      <c r="B104" s="15"/>
      <c r="D104" s="2"/>
      <c r="E104" s="33"/>
      <c r="F104" s="33"/>
      <c r="G104" s="33"/>
      <c r="H104" s="33"/>
      <c r="I104" s="33"/>
      <c r="J104" s="102" t="s">
        <v>155</v>
      </c>
      <c r="K104" s="18">
        <f>SUM(K40:K102)</f>
        <v>5643.524123331257</v>
      </c>
      <c r="L104" s="18">
        <f aca="true" t="shared" si="110" ref="L104:R104">SUM(L40:L102)</f>
        <v>292617.5771637036</v>
      </c>
      <c r="M104" s="18">
        <f t="shared" si="110"/>
        <v>4159.3080975648</v>
      </c>
      <c r="N104" s="18">
        <f t="shared" si="110"/>
        <v>420925.99846691877</v>
      </c>
      <c r="O104" s="18">
        <f t="shared" si="110"/>
        <v>778136.1100459417</v>
      </c>
      <c r="P104" s="18">
        <f t="shared" si="110"/>
        <v>674.5159508096608</v>
      </c>
      <c r="Q104" s="18">
        <f t="shared" si="110"/>
        <v>1502157.03384827</v>
      </c>
      <c r="R104" s="4">
        <f t="shared" si="110"/>
        <v>11.860203487852692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 t="s">
        <v>145</v>
      </c>
      <c r="AC104" s="38">
        <f>SUM(AD40:AD102)/59</f>
        <v>17.466203757964426</v>
      </c>
      <c r="AD104" s="38">
        <f>SUM(AE40:AE102)/59</f>
        <v>13.289005275083648</v>
      </c>
      <c r="AE104" s="38">
        <f>SUM(AF40:AF102)/59</f>
        <v>10.184802358776249</v>
      </c>
      <c r="AF104" s="38">
        <f>SUM(AG40:AG102)/59</f>
        <v>8.270864654416432</v>
      </c>
      <c r="AG104" s="38">
        <f>SUM(AH40:AH102)/59</f>
        <v>7.951492666442384</v>
      </c>
      <c r="AH104" s="28"/>
      <c r="BX104"/>
    </row>
    <row r="105" spans="1:34" ht="16.5">
      <c r="A105" s="5"/>
      <c r="B105" s="15"/>
      <c r="D105" s="2"/>
      <c r="E105" s="33"/>
      <c r="F105" s="33"/>
      <c r="G105" s="33"/>
      <c r="H105" s="33"/>
      <c r="I105" s="33"/>
      <c r="J105" s="10" t="s">
        <v>156</v>
      </c>
      <c r="K105" s="29">
        <f>K104/$Q$104</f>
        <v>0.003756946841219064</v>
      </c>
      <c r="L105" s="29">
        <f aca="true" t="shared" si="111" ref="L105:Q105">L104/$Q$104</f>
        <v>0.19479826048150725</v>
      </c>
      <c r="M105" s="29">
        <f t="shared" si="111"/>
        <v>0.002768890338255357</v>
      </c>
      <c r="N105" s="29">
        <f t="shared" si="111"/>
        <v>0.28021437771294666</v>
      </c>
      <c r="O105" s="29">
        <f t="shared" si="111"/>
        <v>0.5180124930430806</v>
      </c>
      <c r="P105" s="29">
        <f t="shared" si="111"/>
        <v>0.0004490315829908049</v>
      </c>
      <c r="Q105" s="11">
        <f t="shared" si="111"/>
        <v>1</v>
      </c>
      <c r="R105" s="1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28"/>
      <c r="AE105" s="28"/>
      <c r="AF105" s="28"/>
      <c r="AG105" s="28"/>
      <c r="AH105" s="28"/>
    </row>
    <row r="106" spans="2:29" ht="5.25" customHeight="1">
      <c r="B106" s="15"/>
      <c r="E106" s="34"/>
      <c r="F106" s="34"/>
      <c r="G106" s="34"/>
      <c r="H106" s="34"/>
      <c r="I106" s="34"/>
      <c r="J106" s="33"/>
      <c r="L106" s="33"/>
      <c r="M106" s="33"/>
      <c r="N106" s="33"/>
      <c r="O106" s="33"/>
      <c r="P106" s="33"/>
      <c r="Q106" s="33"/>
      <c r="R106" s="18"/>
      <c r="AC106" s="30"/>
    </row>
    <row r="107" spans="2:29" ht="16.5">
      <c r="B107" s="15"/>
      <c r="E107" s="34"/>
      <c r="F107" s="34"/>
      <c r="G107" s="34"/>
      <c r="H107" s="34"/>
      <c r="I107" s="34"/>
      <c r="J107" s="34"/>
      <c r="L107" s="33"/>
      <c r="M107" s="33"/>
      <c r="N107" s="33"/>
      <c r="O107" s="33" t="s">
        <v>57</v>
      </c>
      <c r="P107" s="33"/>
      <c r="Q107" s="18">
        <f>MAX(Q40:Q102)</f>
        <v>37095.58427391317</v>
      </c>
      <c r="R107" s="18"/>
      <c r="AC107" s="30"/>
    </row>
    <row r="108" spans="2:29" ht="6" customHeight="1">
      <c r="B108" s="15"/>
      <c r="E108" s="34"/>
      <c r="F108" s="34"/>
      <c r="G108" s="34"/>
      <c r="H108" s="34"/>
      <c r="I108" s="34"/>
      <c r="J108" s="33"/>
      <c r="L108" s="33"/>
      <c r="M108" s="33"/>
      <c r="N108" s="33"/>
      <c r="O108" s="33"/>
      <c r="P108" s="33"/>
      <c r="R108"/>
      <c r="AC108" s="30"/>
    </row>
    <row r="109" spans="2:75" ht="16.5">
      <c r="B109" s="15"/>
      <c r="E109" s="34"/>
      <c r="F109" s="34"/>
      <c r="G109" s="34"/>
      <c r="H109" s="34"/>
      <c r="I109" s="34"/>
      <c r="J109" s="102" t="s">
        <v>158</v>
      </c>
      <c r="K109" s="4">
        <f aca="true" t="shared" si="112" ref="K109:P109">(SUM(K40:K55)+K56*($A56-$A55)+K58*($A59-$A58)+SUM(K59:K76)+K77*($A77-$A76)+K79*($A80-$A79)+SUM(K80:K92)+K93*($A93-$A92)+K95*($A96-$A95)+SUM(K96:K101)+K102*($A102-$A101))*$J$29</f>
        <v>0.044167551229613744</v>
      </c>
      <c r="L109" s="4">
        <f t="shared" si="112"/>
        <v>2.2906366672965697</v>
      </c>
      <c r="M109" s="4">
        <f t="shared" si="112"/>
        <v>0.033390439790571415</v>
      </c>
      <c r="N109" s="4">
        <f t="shared" si="112"/>
        <v>3.3524608623637655</v>
      </c>
      <c r="O109" s="4">
        <f t="shared" si="112"/>
        <v>6.134197878464046</v>
      </c>
      <c r="P109" s="4">
        <f t="shared" si="112"/>
        <v>0.005350088708122189</v>
      </c>
      <c r="Q109" s="4">
        <f>SUM(K109:P109)</f>
        <v>11.860203487852688</v>
      </c>
      <c r="R109"/>
      <c r="AC109" s="30"/>
      <c r="BW109" s="2"/>
    </row>
    <row r="110" spans="2:75" ht="16.5">
      <c r="B110" s="15"/>
      <c r="E110" s="34"/>
      <c r="F110" s="34"/>
      <c r="G110" s="34"/>
      <c r="H110" s="34"/>
      <c r="I110" s="34"/>
      <c r="J110" s="33"/>
      <c r="L110" s="33"/>
      <c r="M110" s="33"/>
      <c r="N110" s="33"/>
      <c r="O110" s="33"/>
      <c r="P110" s="33"/>
      <c r="R110"/>
      <c r="AC110" s="30"/>
      <c r="BW110" s="2"/>
    </row>
    <row r="111" spans="2:75" ht="16.5">
      <c r="B111" s="15"/>
      <c r="E111" s="34"/>
      <c r="F111" s="34"/>
      <c r="G111" s="34"/>
      <c r="H111" s="34"/>
      <c r="I111" s="34"/>
      <c r="J111" s="33"/>
      <c r="L111" s="33"/>
      <c r="M111" s="33"/>
      <c r="N111" s="33"/>
      <c r="O111" s="33"/>
      <c r="P111" s="2"/>
      <c r="Q111" s="40"/>
      <c r="BW111" s="2"/>
    </row>
    <row r="112" spans="2:75" ht="16.5">
      <c r="B112" s="4"/>
      <c r="E112" s="34"/>
      <c r="F112" s="34"/>
      <c r="G112" s="34"/>
      <c r="H112" s="34"/>
      <c r="I112" s="34"/>
      <c r="J112" s="33"/>
      <c r="L112" s="33"/>
      <c r="M112" s="33"/>
      <c r="N112" s="33"/>
      <c r="O112" s="33"/>
      <c r="P112" s="2"/>
      <c r="Q112" s="40"/>
      <c r="BW112" s="2"/>
    </row>
    <row r="113" spans="2:75" ht="16.5">
      <c r="B113" s="4"/>
      <c r="E113" s="34"/>
      <c r="F113" s="34"/>
      <c r="G113" s="34"/>
      <c r="H113" s="34"/>
      <c r="I113" s="34"/>
      <c r="J113" s="33"/>
      <c r="L113" s="33"/>
      <c r="M113" s="33"/>
      <c r="N113" s="33"/>
      <c r="O113" s="33"/>
      <c r="P113" s="2"/>
      <c r="Q113" s="40"/>
      <c r="BW113" s="2"/>
    </row>
    <row r="114" spans="2:17" ht="16.5">
      <c r="B114" s="4"/>
      <c r="E114" s="34"/>
      <c r="F114" s="34"/>
      <c r="G114" s="34"/>
      <c r="H114" s="34"/>
      <c r="I114" s="34"/>
      <c r="J114" s="33"/>
      <c r="L114" s="33"/>
      <c r="M114" s="33"/>
      <c r="N114" s="33"/>
      <c r="O114" s="33"/>
      <c r="P114" s="2"/>
      <c r="Q114" s="40"/>
    </row>
    <row r="115" spans="2:17" ht="16.5">
      <c r="B115" s="4"/>
      <c r="E115" s="34"/>
      <c r="F115" s="34"/>
      <c r="G115" s="34"/>
      <c r="H115" s="34"/>
      <c r="I115" s="34"/>
      <c r="J115" s="33"/>
      <c r="L115" s="33"/>
      <c r="M115" s="33"/>
      <c r="N115" s="33"/>
      <c r="O115" s="33"/>
      <c r="P115" s="2"/>
      <c r="Q115" s="40"/>
    </row>
    <row r="116" spans="2:17" ht="16.5">
      <c r="B116" s="4"/>
      <c r="E116" s="34"/>
      <c r="F116" s="34"/>
      <c r="G116" s="34"/>
      <c r="H116" s="34"/>
      <c r="I116" s="34"/>
      <c r="J116" s="33"/>
      <c r="L116" s="33"/>
      <c r="M116" s="33"/>
      <c r="N116" s="33"/>
      <c r="O116" s="33"/>
      <c r="P116" s="2"/>
      <c r="Q116" s="40"/>
    </row>
    <row r="117" spans="2:15" ht="16.5">
      <c r="B117" s="4"/>
      <c r="E117" s="34"/>
      <c r="F117" s="34"/>
      <c r="G117" s="34"/>
      <c r="H117" s="34"/>
      <c r="I117" s="34"/>
      <c r="J117" s="33"/>
      <c r="L117" s="33"/>
      <c r="M117" s="33"/>
      <c r="N117" s="33"/>
      <c r="O117" s="33"/>
    </row>
    <row r="118" spans="2:15" ht="16.5">
      <c r="B118" s="4"/>
      <c r="E118" s="34"/>
      <c r="F118" s="34"/>
      <c r="G118" s="34"/>
      <c r="H118" s="34"/>
      <c r="I118" s="34"/>
      <c r="J118" s="33"/>
      <c r="L118" s="33"/>
      <c r="M118" s="33"/>
      <c r="N118" s="33"/>
      <c r="O118" s="33"/>
    </row>
    <row r="119" spans="2:15" ht="16.5">
      <c r="B119" s="4"/>
      <c r="E119" s="34"/>
      <c r="F119" s="34"/>
      <c r="G119" s="34"/>
      <c r="H119" s="34"/>
      <c r="I119" s="34"/>
      <c r="J119" s="33"/>
      <c r="L119" s="33"/>
      <c r="M119" s="33"/>
      <c r="N119" s="33"/>
      <c r="O119" s="33"/>
    </row>
    <row r="120" spans="2:15" ht="16.5">
      <c r="B120" s="4"/>
      <c r="E120" s="34"/>
      <c r="F120" s="34"/>
      <c r="G120" s="34"/>
      <c r="H120" s="34"/>
      <c r="I120" s="34"/>
      <c r="J120" s="33"/>
      <c r="L120" s="33"/>
      <c r="M120" s="33"/>
      <c r="N120" s="33"/>
      <c r="O120" s="33"/>
    </row>
    <row r="121" spans="2:15" ht="16.5">
      <c r="B121" s="4"/>
      <c r="E121" s="34"/>
      <c r="F121" s="34"/>
      <c r="G121" s="34"/>
      <c r="H121" s="34"/>
      <c r="I121" s="34"/>
      <c r="J121" s="33"/>
      <c r="L121" s="33"/>
      <c r="M121" s="33"/>
      <c r="N121" s="33"/>
      <c r="O121" s="33"/>
    </row>
    <row r="122" spans="2:15" ht="16.5">
      <c r="B122" s="4"/>
      <c r="E122" s="34"/>
      <c r="F122" s="34"/>
      <c r="G122" s="34"/>
      <c r="H122" s="34"/>
      <c r="I122" s="34"/>
      <c r="J122" s="33"/>
      <c r="L122" s="33"/>
      <c r="M122" s="33"/>
      <c r="N122" s="33"/>
      <c r="O122" s="33"/>
    </row>
    <row r="123" spans="2:15" ht="16.5">
      <c r="B123" s="4"/>
      <c r="E123" s="34"/>
      <c r="F123" s="34"/>
      <c r="G123" s="34"/>
      <c r="H123" s="34"/>
      <c r="I123" s="34"/>
      <c r="J123" s="33"/>
      <c r="L123" s="33"/>
      <c r="M123" s="33"/>
      <c r="N123" s="33"/>
      <c r="O123" s="33"/>
    </row>
    <row r="124" spans="2:15" ht="16.5">
      <c r="B124" s="4"/>
      <c r="E124" s="33"/>
      <c r="F124" s="34"/>
      <c r="G124" s="33"/>
      <c r="H124" s="33"/>
      <c r="I124" s="33"/>
      <c r="J124" s="33"/>
      <c r="L124" s="33"/>
      <c r="M124" s="33"/>
      <c r="N124" s="33"/>
      <c r="O124" s="33"/>
    </row>
    <row r="125" spans="2:15" ht="16.5">
      <c r="B125" s="4"/>
      <c r="E125" s="33"/>
      <c r="F125" s="34"/>
      <c r="G125" s="33"/>
      <c r="H125" s="33"/>
      <c r="I125" s="33"/>
      <c r="J125" s="33"/>
      <c r="L125" s="33"/>
      <c r="M125" s="33"/>
      <c r="N125" s="33"/>
      <c r="O125" s="33"/>
    </row>
    <row r="126" spans="2:15" ht="16.5">
      <c r="B126" s="4"/>
      <c r="E126" s="33"/>
      <c r="F126" s="34"/>
      <c r="G126" s="33"/>
      <c r="H126" s="33"/>
      <c r="I126" s="33"/>
      <c r="J126" s="33"/>
      <c r="L126" s="33"/>
      <c r="M126" s="33"/>
      <c r="N126" s="33"/>
      <c r="O126" s="33"/>
    </row>
    <row r="127" spans="2:15" ht="16.5">
      <c r="B127" s="4"/>
      <c r="E127" s="33"/>
      <c r="F127" s="34"/>
      <c r="G127" s="33"/>
      <c r="H127" s="33"/>
      <c r="I127" s="33"/>
      <c r="J127" s="33"/>
      <c r="L127" s="33"/>
      <c r="M127" s="33"/>
      <c r="N127" s="33"/>
      <c r="O127" s="33"/>
    </row>
    <row r="128" spans="2:15" ht="16.5">
      <c r="B128" s="4"/>
      <c r="E128" s="33"/>
      <c r="F128" s="34"/>
      <c r="G128" s="33"/>
      <c r="H128" s="33"/>
      <c r="I128" s="33"/>
      <c r="J128" s="33"/>
      <c r="L128" s="33"/>
      <c r="M128" s="33"/>
      <c r="N128" s="33"/>
      <c r="O128" s="33"/>
    </row>
    <row r="129" spans="2:15" ht="16.5">
      <c r="B129" s="4"/>
      <c r="E129" s="33"/>
      <c r="F129" s="34"/>
      <c r="G129" s="33"/>
      <c r="H129" s="33"/>
      <c r="I129" s="33"/>
      <c r="J129" s="33"/>
      <c r="L129" s="33"/>
      <c r="M129" s="33"/>
      <c r="N129" s="33"/>
      <c r="O129" s="33"/>
    </row>
    <row r="130" spans="2:15" ht="16.5">
      <c r="B130" s="4"/>
      <c r="E130" s="33"/>
      <c r="F130" s="34"/>
      <c r="G130" s="33"/>
      <c r="H130" s="33"/>
      <c r="I130" s="33"/>
      <c r="J130" s="33"/>
      <c r="L130" s="33"/>
      <c r="M130" s="33"/>
      <c r="N130" s="33"/>
      <c r="O130" s="33"/>
    </row>
    <row r="131" spans="2:15" ht="16.5">
      <c r="B131" s="4"/>
      <c r="E131" s="33"/>
      <c r="F131" s="34"/>
      <c r="G131" s="33"/>
      <c r="H131" s="33"/>
      <c r="I131" s="33"/>
      <c r="J131" s="33"/>
      <c r="L131" s="33"/>
      <c r="M131" s="33"/>
      <c r="N131" s="33"/>
      <c r="O131" s="33"/>
    </row>
    <row r="132" spans="2:15" ht="16.5">
      <c r="B132" s="4"/>
      <c r="E132" s="33"/>
      <c r="F132" s="34"/>
      <c r="G132" s="33"/>
      <c r="H132" s="33"/>
      <c r="I132" s="33"/>
      <c r="J132" s="33"/>
      <c r="L132" s="33"/>
      <c r="M132" s="33"/>
      <c r="N132" s="33"/>
      <c r="O132" s="33"/>
    </row>
    <row r="133" spans="2:15" ht="16.5">
      <c r="B133" s="4"/>
      <c r="E133" s="33"/>
      <c r="F133" s="34"/>
      <c r="G133" s="33"/>
      <c r="H133" s="33"/>
      <c r="I133" s="33"/>
      <c r="J133" s="33"/>
      <c r="L133" s="33"/>
      <c r="M133" s="33"/>
      <c r="N133" s="33"/>
      <c r="O133" s="33"/>
    </row>
    <row r="134" spans="2:15" ht="16.5">
      <c r="B134" s="4"/>
      <c r="E134" s="33"/>
      <c r="F134" s="34"/>
      <c r="G134" s="33"/>
      <c r="H134" s="33"/>
      <c r="I134" s="33"/>
      <c r="J134" s="33"/>
      <c r="L134" s="33"/>
      <c r="M134" s="33"/>
      <c r="N134" s="33"/>
      <c r="O134" s="33"/>
    </row>
    <row r="135" spans="2:15" ht="16.5">
      <c r="B135" s="4"/>
      <c r="E135" s="33"/>
      <c r="F135" s="34"/>
      <c r="G135" s="33"/>
      <c r="H135" s="33"/>
      <c r="I135" s="33"/>
      <c r="J135" s="33"/>
      <c r="L135" s="33"/>
      <c r="M135" s="33"/>
      <c r="N135" s="33"/>
      <c r="O135" s="33"/>
    </row>
    <row r="136" spans="2:15" ht="16.5">
      <c r="B136" s="4"/>
      <c r="E136" s="33"/>
      <c r="F136" s="34"/>
      <c r="G136" s="33"/>
      <c r="H136" s="33"/>
      <c r="I136" s="33"/>
      <c r="J136" s="33"/>
      <c r="L136" s="33"/>
      <c r="M136" s="33"/>
      <c r="N136" s="33"/>
      <c r="O136" s="33"/>
    </row>
    <row r="137" spans="2:15" ht="16.5">
      <c r="B137" s="4"/>
      <c r="E137" s="33"/>
      <c r="F137" s="34"/>
      <c r="G137" s="33"/>
      <c r="H137" s="33"/>
      <c r="I137" s="33"/>
      <c r="J137" s="33"/>
      <c r="L137" s="33"/>
      <c r="M137" s="33"/>
      <c r="N137" s="33"/>
      <c r="O137" s="33"/>
    </row>
    <row r="138" spans="2:15" ht="16.5">
      <c r="B138" s="4"/>
      <c r="E138" s="33"/>
      <c r="F138" s="34"/>
      <c r="G138" s="33"/>
      <c r="H138" s="33"/>
      <c r="I138" s="33"/>
      <c r="J138" s="33"/>
      <c r="L138" s="33"/>
      <c r="M138" s="33"/>
      <c r="N138" s="33"/>
      <c r="O138" s="33"/>
    </row>
    <row r="139" spans="2:15" ht="16.5">
      <c r="B139" s="4"/>
      <c r="E139" s="33"/>
      <c r="F139" s="34"/>
      <c r="G139" s="33"/>
      <c r="H139" s="33"/>
      <c r="I139" s="33"/>
      <c r="J139" s="33"/>
      <c r="L139" s="33"/>
      <c r="M139" s="33"/>
      <c r="N139" s="33"/>
      <c r="O139" s="33"/>
    </row>
    <row r="140" spans="2:15" ht="16.5">
      <c r="B140" s="4"/>
      <c r="E140" s="33"/>
      <c r="F140" s="34"/>
      <c r="G140" s="33"/>
      <c r="H140" s="33"/>
      <c r="I140" s="33"/>
      <c r="J140" s="33"/>
      <c r="L140" s="33"/>
      <c r="M140" s="33"/>
      <c r="N140" s="33"/>
      <c r="O140" s="33"/>
    </row>
    <row r="141" spans="2:15" ht="16.5">
      <c r="B141" s="4"/>
      <c r="E141" s="33"/>
      <c r="F141" s="34"/>
      <c r="G141" s="33"/>
      <c r="H141" s="33"/>
      <c r="I141" s="33"/>
      <c r="J141" s="33"/>
      <c r="L141" s="33"/>
      <c r="M141" s="33"/>
      <c r="N141" s="33"/>
      <c r="O141" s="33"/>
    </row>
    <row r="142" spans="2:15" ht="16.5">
      <c r="B142" s="4"/>
      <c r="E142" s="33"/>
      <c r="F142" s="34"/>
      <c r="G142" s="33"/>
      <c r="H142" s="33"/>
      <c r="I142" s="33"/>
      <c r="J142" s="33"/>
      <c r="L142" s="33"/>
      <c r="M142" s="33"/>
      <c r="N142" s="33"/>
      <c r="O142" s="33"/>
    </row>
    <row r="143" spans="2:15" ht="16.5">
      <c r="B143" s="4"/>
      <c r="E143" s="33"/>
      <c r="F143" s="34"/>
      <c r="G143" s="33"/>
      <c r="H143" s="33"/>
      <c r="I143" s="33"/>
      <c r="J143" s="33"/>
      <c r="L143" s="33"/>
      <c r="M143" s="33"/>
      <c r="N143" s="33"/>
      <c r="O143" s="33"/>
    </row>
    <row r="144" spans="2:15" ht="16.5">
      <c r="B144" s="4"/>
      <c r="E144" s="33"/>
      <c r="F144" s="34"/>
      <c r="G144" s="33"/>
      <c r="H144" s="33"/>
      <c r="I144" s="33"/>
      <c r="J144" s="33"/>
      <c r="L144" s="33"/>
      <c r="M144" s="33"/>
      <c r="N144" s="33"/>
      <c r="O144" s="33"/>
    </row>
    <row r="145" spans="2:15" ht="16.5">
      <c r="B145" s="4"/>
      <c r="E145" s="33"/>
      <c r="F145" s="34"/>
      <c r="G145" s="33"/>
      <c r="H145" s="33"/>
      <c r="I145" s="33"/>
      <c r="J145" s="33"/>
      <c r="L145" s="33"/>
      <c r="M145" s="33"/>
      <c r="N145" s="33"/>
      <c r="O145" s="33"/>
    </row>
    <row r="146" spans="2:15" ht="16.5">
      <c r="B146" s="4"/>
      <c r="E146" s="33"/>
      <c r="F146" s="34"/>
      <c r="G146" s="33"/>
      <c r="H146" s="33"/>
      <c r="I146" s="33"/>
      <c r="J146" s="33"/>
      <c r="L146" s="33"/>
      <c r="M146" s="33"/>
      <c r="N146" s="33"/>
      <c r="O146" s="33"/>
    </row>
    <row r="147" spans="2:15" ht="16.5">
      <c r="B147" s="4"/>
      <c r="E147" s="33"/>
      <c r="F147" s="34"/>
      <c r="G147" s="33"/>
      <c r="H147" s="33"/>
      <c r="I147" s="33"/>
      <c r="J147" s="33"/>
      <c r="L147" s="33"/>
      <c r="M147" s="33"/>
      <c r="N147" s="33"/>
      <c r="O147" s="33"/>
    </row>
    <row r="148" spans="2:15" ht="16.5">
      <c r="B148" s="4"/>
      <c r="E148" s="33"/>
      <c r="F148" s="34"/>
      <c r="G148" s="33"/>
      <c r="H148" s="33"/>
      <c r="I148" s="33"/>
      <c r="J148" s="33"/>
      <c r="L148" s="33"/>
      <c r="M148" s="33"/>
      <c r="N148" s="33"/>
      <c r="O148" s="33"/>
    </row>
    <row r="149" spans="2:15" ht="16.5">
      <c r="B149" s="4"/>
      <c r="E149" s="33"/>
      <c r="F149" s="34"/>
      <c r="G149" s="33"/>
      <c r="H149" s="33"/>
      <c r="I149" s="33"/>
      <c r="J149" s="33"/>
      <c r="L149" s="33"/>
      <c r="M149" s="33"/>
      <c r="N149" s="33"/>
      <c r="O149" s="33"/>
    </row>
    <row r="150" spans="2:15" ht="16.5">
      <c r="B150" s="4"/>
      <c r="E150" s="33"/>
      <c r="F150" s="34"/>
      <c r="G150" s="33"/>
      <c r="H150" s="33"/>
      <c r="I150" s="33"/>
      <c r="J150" s="33"/>
      <c r="L150" s="33"/>
      <c r="M150" s="33"/>
      <c r="N150" s="33"/>
      <c r="O150" s="33"/>
    </row>
    <row r="151" spans="2:15" ht="16.5">
      <c r="B151" s="4"/>
      <c r="E151" s="33"/>
      <c r="F151" s="34"/>
      <c r="G151" s="33"/>
      <c r="H151" s="33"/>
      <c r="I151" s="33"/>
      <c r="J151" s="33"/>
      <c r="L151" s="33"/>
      <c r="M151" s="33"/>
      <c r="N151" s="33"/>
      <c r="O151" s="33"/>
    </row>
    <row r="152" spans="2:15" ht="16.5">
      <c r="B152" s="4"/>
      <c r="E152" s="33"/>
      <c r="F152" s="34"/>
      <c r="G152" s="33"/>
      <c r="H152" s="33"/>
      <c r="I152" s="33"/>
      <c r="J152" s="33"/>
      <c r="L152" s="33"/>
      <c r="M152" s="33"/>
      <c r="N152" s="33"/>
      <c r="O152" s="33"/>
    </row>
    <row r="153" spans="2:15" ht="16.5">
      <c r="B153" s="4"/>
      <c r="E153" s="33"/>
      <c r="F153" s="34"/>
      <c r="G153" s="33"/>
      <c r="H153" s="33"/>
      <c r="I153" s="33"/>
      <c r="J153" s="33"/>
      <c r="L153" s="33"/>
      <c r="M153" s="33"/>
      <c r="N153" s="33"/>
      <c r="O153" s="33"/>
    </row>
    <row r="154" spans="2:15" ht="16.5">
      <c r="B154" s="4"/>
      <c r="E154" s="33"/>
      <c r="F154" s="34"/>
      <c r="G154" s="33"/>
      <c r="H154" s="33"/>
      <c r="I154" s="33"/>
      <c r="J154" s="33"/>
      <c r="L154" s="33"/>
      <c r="M154" s="33"/>
      <c r="N154" s="33"/>
      <c r="O154" s="33"/>
    </row>
    <row r="155" spans="2:15" ht="16.5">
      <c r="B155" s="4"/>
      <c r="E155" s="33"/>
      <c r="F155" s="34"/>
      <c r="G155" s="33"/>
      <c r="H155" s="33"/>
      <c r="I155" s="33"/>
      <c r="J155" s="33"/>
      <c r="L155" s="33"/>
      <c r="M155" s="33"/>
      <c r="N155" s="33"/>
      <c r="O155" s="33"/>
    </row>
    <row r="156" spans="2:15" ht="16.5">
      <c r="B156" s="4"/>
      <c r="E156" s="33"/>
      <c r="F156" s="34"/>
      <c r="G156" s="33"/>
      <c r="H156" s="33"/>
      <c r="I156" s="33"/>
      <c r="J156" s="33"/>
      <c r="L156" s="33"/>
      <c r="M156" s="33"/>
      <c r="N156" s="33"/>
      <c r="O156" s="33"/>
    </row>
    <row r="157" spans="2:15" ht="16.5">
      <c r="B157" s="4"/>
      <c r="E157" s="33"/>
      <c r="F157" s="34"/>
      <c r="G157" s="33"/>
      <c r="H157" s="33"/>
      <c r="I157" s="33"/>
      <c r="J157" s="33"/>
      <c r="L157" s="33"/>
      <c r="M157" s="33"/>
      <c r="N157" s="33"/>
      <c r="O157" s="33"/>
    </row>
    <row r="158" spans="2:15" ht="16.5">
      <c r="B158" s="4"/>
      <c r="E158" s="33"/>
      <c r="F158" s="34"/>
      <c r="G158" s="33"/>
      <c r="H158" s="33"/>
      <c r="I158" s="33"/>
      <c r="J158" s="33"/>
      <c r="L158" s="33"/>
      <c r="M158" s="33"/>
      <c r="N158" s="33"/>
      <c r="O158" s="33"/>
    </row>
    <row r="159" spans="2:15" ht="16.5">
      <c r="B159" s="4"/>
      <c r="E159" s="33"/>
      <c r="F159" s="34"/>
      <c r="G159" s="33"/>
      <c r="H159" s="33"/>
      <c r="I159" s="33"/>
      <c r="J159" s="33"/>
      <c r="L159" s="33"/>
      <c r="M159" s="33"/>
      <c r="N159" s="33"/>
      <c r="O159" s="33"/>
    </row>
    <row r="160" spans="2:15" ht="16.5">
      <c r="B160" s="4"/>
      <c r="E160" s="33"/>
      <c r="F160" s="34"/>
      <c r="G160" s="33"/>
      <c r="H160" s="33"/>
      <c r="I160" s="33"/>
      <c r="J160" s="33"/>
      <c r="L160" s="33"/>
      <c r="M160" s="33"/>
      <c r="N160" s="33"/>
      <c r="O160" s="33"/>
    </row>
    <row r="161" spans="2:15" ht="16.5">
      <c r="B161" s="4"/>
      <c r="E161" s="33"/>
      <c r="F161" s="34"/>
      <c r="G161" s="33"/>
      <c r="H161" s="33"/>
      <c r="I161" s="33"/>
      <c r="J161" s="33"/>
      <c r="L161" s="33"/>
      <c r="M161" s="33"/>
      <c r="N161" s="33"/>
      <c r="O161" s="33"/>
    </row>
    <row r="162" spans="2:15" ht="16.5">
      <c r="B162" s="4"/>
      <c r="E162" s="33"/>
      <c r="F162" s="34"/>
      <c r="G162" s="33"/>
      <c r="H162" s="33"/>
      <c r="I162" s="33"/>
      <c r="J162" s="33"/>
      <c r="L162" s="33"/>
      <c r="M162" s="33"/>
      <c r="N162" s="33"/>
      <c r="O162" s="33"/>
    </row>
    <row r="163" spans="5:15" ht="16.5">
      <c r="E163" s="33"/>
      <c r="F163" s="34"/>
      <c r="G163" s="33"/>
      <c r="H163" s="33"/>
      <c r="I163" s="33"/>
      <c r="J163" s="33"/>
      <c r="L163" s="33"/>
      <c r="M163" s="33"/>
      <c r="N163" s="33"/>
      <c r="O163" s="33"/>
    </row>
    <row r="164" spans="5:15" ht="16.5">
      <c r="E164" s="33"/>
      <c r="F164" s="34"/>
      <c r="G164" s="33"/>
      <c r="H164" s="33"/>
      <c r="I164" s="33"/>
      <c r="J164" s="33"/>
      <c r="L164" s="33"/>
      <c r="M164" s="33"/>
      <c r="N164" s="33"/>
      <c r="O164" s="33"/>
    </row>
    <row r="165" spans="5:15" ht="16.5">
      <c r="E165" s="33"/>
      <c r="F165" s="34"/>
      <c r="G165" s="33"/>
      <c r="H165" s="33"/>
      <c r="I165" s="33"/>
      <c r="J165" s="33"/>
      <c r="L165" s="33"/>
      <c r="M165" s="33"/>
      <c r="N165" s="33"/>
      <c r="O165" s="33"/>
    </row>
    <row r="166" spans="5:15" ht="16.5">
      <c r="E166" s="33"/>
      <c r="F166" s="34"/>
      <c r="G166" s="33"/>
      <c r="H166" s="33"/>
      <c r="I166" s="33"/>
      <c r="J166" s="33"/>
      <c r="L166" s="33"/>
      <c r="M166" s="33"/>
      <c r="N166" s="33"/>
      <c r="O166" s="33"/>
    </row>
    <row r="167" spans="5:15" ht="16.5">
      <c r="E167" s="33"/>
      <c r="F167" s="34"/>
      <c r="G167" s="33"/>
      <c r="H167" s="33"/>
      <c r="I167" s="33"/>
      <c r="J167" s="33"/>
      <c r="L167" s="33"/>
      <c r="M167" s="33"/>
      <c r="N167" s="33"/>
      <c r="O167" s="33"/>
    </row>
    <row r="168" spans="5:15" ht="16.5">
      <c r="E168" s="33"/>
      <c r="F168" s="34"/>
      <c r="G168" s="33"/>
      <c r="H168" s="33"/>
      <c r="I168" s="33"/>
      <c r="J168" s="33"/>
      <c r="L168" s="33"/>
      <c r="M168" s="33"/>
      <c r="N168" s="33"/>
      <c r="O168" s="33"/>
    </row>
    <row r="169" spans="5:15" ht="16.5">
      <c r="E169" s="33"/>
      <c r="F169" s="34"/>
      <c r="G169" s="33"/>
      <c r="H169" s="33"/>
      <c r="I169" s="33"/>
      <c r="J169" s="33"/>
      <c r="L169" s="33"/>
      <c r="M169" s="33"/>
      <c r="N169" s="33"/>
      <c r="O169" s="33"/>
    </row>
    <row r="170" spans="5:15" ht="16.5">
      <c r="E170" s="33"/>
      <c r="F170" s="34"/>
      <c r="G170" s="33"/>
      <c r="H170" s="33"/>
      <c r="I170" s="33"/>
      <c r="J170" s="33"/>
      <c r="L170" s="33"/>
      <c r="M170" s="33"/>
      <c r="N170" s="33"/>
      <c r="O170" s="33"/>
    </row>
    <row r="171" spans="5:15" ht="16.5">
      <c r="E171" s="33"/>
      <c r="F171" s="34"/>
      <c r="G171" s="33"/>
      <c r="H171" s="33"/>
      <c r="I171" s="33"/>
      <c r="J171" s="33"/>
      <c r="L171" s="33"/>
      <c r="M171" s="33"/>
      <c r="N171" s="33"/>
      <c r="O171" s="33"/>
    </row>
    <row r="172" spans="5:15" ht="16.5">
      <c r="E172" s="33"/>
      <c r="F172" s="34"/>
      <c r="G172" s="33"/>
      <c r="H172" s="33"/>
      <c r="I172" s="33"/>
      <c r="J172" s="33"/>
      <c r="L172" s="33"/>
      <c r="M172" s="33"/>
      <c r="N172" s="33"/>
      <c r="O172" s="33"/>
    </row>
    <row r="173" spans="5:15" ht="16.5">
      <c r="E173" s="33"/>
      <c r="F173" s="34"/>
      <c r="G173" s="33"/>
      <c r="H173" s="33"/>
      <c r="I173" s="33"/>
      <c r="J173" s="33"/>
      <c r="L173" s="33"/>
      <c r="M173" s="33"/>
      <c r="N173" s="33"/>
      <c r="O173" s="33"/>
    </row>
    <row r="174" spans="5:15" ht="16.5">
      <c r="E174" s="33"/>
      <c r="F174" s="34"/>
      <c r="G174" s="33"/>
      <c r="H174" s="33"/>
      <c r="I174" s="33"/>
      <c r="J174" s="33"/>
      <c r="L174" s="33"/>
      <c r="M174" s="33"/>
      <c r="N174" s="33"/>
      <c r="O174" s="33"/>
    </row>
    <row r="175" spans="5:15" ht="16.5">
      <c r="E175" s="33"/>
      <c r="F175" s="34"/>
      <c r="G175" s="33"/>
      <c r="H175" s="33"/>
      <c r="I175" s="33"/>
      <c r="J175" s="33"/>
      <c r="L175" s="33"/>
      <c r="M175" s="33"/>
      <c r="N175" s="33"/>
      <c r="O175" s="33"/>
    </row>
    <row r="176" spans="5:15" ht="16.5">
      <c r="E176" s="33"/>
      <c r="F176" s="34"/>
      <c r="G176" s="33"/>
      <c r="H176" s="33"/>
      <c r="I176" s="33"/>
      <c r="J176" s="33"/>
      <c r="L176" s="33"/>
      <c r="M176" s="33"/>
      <c r="N176" s="33"/>
      <c r="O176" s="33"/>
    </row>
    <row r="177" spans="5:15" ht="16.5">
      <c r="E177" s="33"/>
      <c r="F177" s="34"/>
      <c r="G177" s="33"/>
      <c r="H177" s="33"/>
      <c r="I177" s="33"/>
      <c r="J177" s="33"/>
      <c r="L177" s="33"/>
      <c r="M177" s="33"/>
      <c r="N177" s="33"/>
      <c r="O177" s="33"/>
    </row>
    <row r="178" spans="5:15" ht="16.5">
      <c r="E178" s="33"/>
      <c r="F178" s="34"/>
      <c r="G178" s="33"/>
      <c r="H178" s="33"/>
      <c r="I178" s="33"/>
      <c r="J178" s="33"/>
      <c r="L178" s="33"/>
      <c r="M178" s="33"/>
      <c r="N178" s="33"/>
      <c r="O178" s="33"/>
    </row>
    <row r="179" spans="5:15" ht="16.5">
      <c r="E179" s="33"/>
      <c r="F179" s="34"/>
      <c r="G179" s="33"/>
      <c r="H179" s="33"/>
      <c r="I179" s="33"/>
      <c r="J179" s="33"/>
      <c r="L179" s="33"/>
      <c r="M179" s="33"/>
      <c r="N179" s="33"/>
      <c r="O179" s="33"/>
    </row>
    <row r="180" spans="5:15" ht="16.5">
      <c r="E180" s="33"/>
      <c r="F180" s="34"/>
      <c r="G180" s="33"/>
      <c r="H180" s="33"/>
      <c r="I180" s="33"/>
      <c r="J180" s="33"/>
      <c r="L180" s="33"/>
      <c r="M180" s="33"/>
      <c r="N180" s="33"/>
      <c r="O180" s="33"/>
    </row>
    <row r="181" spans="5:15" ht="16.5">
      <c r="E181" s="33"/>
      <c r="F181" s="34"/>
      <c r="G181" s="33"/>
      <c r="H181" s="33"/>
      <c r="I181" s="33"/>
      <c r="J181" s="33"/>
      <c r="L181" s="33"/>
      <c r="M181" s="33"/>
      <c r="N181" s="33"/>
      <c r="O181" s="33"/>
    </row>
    <row r="182" spans="5:15" ht="16.5">
      <c r="E182" s="33"/>
      <c r="F182" s="34"/>
      <c r="G182" s="33"/>
      <c r="H182" s="33"/>
      <c r="I182" s="33"/>
      <c r="J182" s="33"/>
      <c r="L182" s="33"/>
      <c r="M182" s="33"/>
      <c r="N182" s="33"/>
      <c r="O182" s="33"/>
    </row>
    <row r="183" spans="5:15" ht="16.5">
      <c r="E183" s="33"/>
      <c r="F183" s="34"/>
      <c r="G183" s="33"/>
      <c r="H183" s="33"/>
      <c r="I183" s="33"/>
      <c r="J183" s="33"/>
      <c r="L183" s="33"/>
      <c r="M183" s="33"/>
      <c r="N183" s="33"/>
      <c r="O183" s="33"/>
    </row>
    <row r="184" spans="5:15" ht="16.5">
      <c r="E184" s="33"/>
      <c r="F184" s="34"/>
      <c r="G184" s="33"/>
      <c r="H184" s="33"/>
      <c r="I184" s="33"/>
      <c r="J184" s="33"/>
      <c r="L184" s="33"/>
      <c r="M184" s="33"/>
      <c r="N184" s="33"/>
      <c r="O184" s="33"/>
    </row>
    <row r="185" spans="5:15" ht="16.5">
      <c r="E185" s="33"/>
      <c r="F185" s="34"/>
      <c r="G185" s="33"/>
      <c r="H185" s="33"/>
      <c r="I185" s="33"/>
      <c r="J185" s="33"/>
      <c r="L185" s="33"/>
      <c r="M185" s="33"/>
      <c r="N185" s="33"/>
      <c r="O185" s="33"/>
    </row>
    <row r="186" spans="5:15" ht="16.5">
      <c r="E186" s="33"/>
      <c r="F186" s="34"/>
      <c r="G186" s="33"/>
      <c r="H186" s="33"/>
      <c r="I186" s="33"/>
      <c r="J186" s="33"/>
      <c r="L186" s="33"/>
      <c r="M186" s="33"/>
      <c r="N186" s="33"/>
      <c r="O186" s="33"/>
    </row>
    <row r="187" spans="5:15" ht="16.5">
      <c r="E187" s="33"/>
      <c r="F187" s="34"/>
      <c r="G187" s="33"/>
      <c r="H187" s="33"/>
      <c r="I187" s="33"/>
      <c r="J187" s="33"/>
      <c r="L187" s="33"/>
      <c r="M187" s="33"/>
      <c r="N187" s="33"/>
      <c r="O187" s="33"/>
    </row>
    <row r="188" spans="5:15" ht="16.5">
      <c r="E188" s="33"/>
      <c r="F188" s="34"/>
      <c r="G188" s="33"/>
      <c r="H188" s="33"/>
      <c r="I188" s="33"/>
      <c r="J188" s="33"/>
      <c r="L188" s="33"/>
      <c r="M188" s="33"/>
      <c r="N188" s="33"/>
      <c r="O188" s="33"/>
    </row>
    <row r="189" spans="5:15" ht="16.5">
      <c r="E189" s="33"/>
      <c r="F189" s="34"/>
      <c r="G189" s="33"/>
      <c r="H189" s="33"/>
      <c r="I189" s="33"/>
      <c r="J189" s="33"/>
      <c r="L189" s="33"/>
      <c r="M189" s="33"/>
      <c r="N189" s="33"/>
      <c r="O189" s="33"/>
    </row>
    <row r="190" spans="5:15" ht="16.5">
      <c r="E190" s="33"/>
      <c r="F190" s="34"/>
      <c r="G190" s="33"/>
      <c r="H190" s="33"/>
      <c r="I190" s="33"/>
      <c r="J190" s="33"/>
      <c r="L190" s="33"/>
      <c r="M190" s="33"/>
      <c r="N190" s="33"/>
      <c r="O190" s="33"/>
    </row>
    <row r="191" spans="5:15" ht="16.5">
      <c r="E191" s="33"/>
      <c r="F191" s="34"/>
      <c r="G191" s="33"/>
      <c r="H191" s="33"/>
      <c r="I191" s="33"/>
      <c r="J191" s="33"/>
      <c r="L191" s="33"/>
      <c r="M191" s="33"/>
      <c r="N191" s="33"/>
      <c r="O191" s="33"/>
    </row>
    <row r="192" spans="5:15" ht="16.5">
      <c r="E192" s="33"/>
      <c r="F192" s="34"/>
      <c r="G192" s="33"/>
      <c r="H192" s="33"/>
      <c r="I192" s="33"/>
      <c r="J192" s="33"/>
      <c r="L192" s="33"/>
      <c r="M192" s="33"/>
      <c r="N192" s="33"/>
      <c r="O192" s="33"/>
    </row>
    <row r="193" spans="5:15" ht="16.5">
      <c r="E193" s="33"/>
      <c r="F193" s="34"/>
      <c r="G193" s="33"/>
      <c r="H193" s="33"/>
      <c r="I193" s="33"/>
      <c r="J193" s="33"/>
      <c r="L193" s="33"/>
      <c r="M193" s="33"/>
      <c r="N193" s="33"/>
      <c r="O193" s="33"/>
    </row>
    <row r="194" spans="5:15" ht="16.5">
      <c r="E194" s="33"/>
      <c r="F194" s="34"/>
      <c r="G194" s="33"/>
      <c r="H194" s="33"/>
      <c r="I194" s="33"/>
      <c r="J194" s="33"/>
      <c r="L194" s="33"/>
      <c r="M194" s="33"/>
      <c r="N194" s="33"/>
      <c r="O194" s="33"/>
    </row>
    <row r="195" spans="5:15" ht="16.5">
      <c r="E195" s="33"/>
      <c r="F195" s="34"/>
      <c r="G195" s="33"/>
      <c r="H195" s="33"/>
      <c r="I195" s="33"/>
      <c r="J195" s="33"/>
      <c r="L195" s="33"/>
      <c r="M195" s="33"/>
      <c r="N195" s="33"/>
      <c r="O195" s="33"/>
    </row>
    <row r="196" spans="5:15" ht="16.5">
      <c r="E196" s="33"/>
      <c r="F196" s="34"/>
      <c r="G196" s="33"/>
      <c r="H196" s="33"/>
      <c r="I196" s="33"/>
      <c r="J196" s="33"/>
      <c r="L196" s="33"/>
      <c r="M196" s="33"/>
      <c r="N196" s="33"/>
      <c r="O196" s="33"/>
    </row>
    <row r="197" spans="5:15" ht="16.5">
      <c r="E197" s="33"/>
      <c r="F197" s="34"/>
      <c r="G197" s="33"/>
      <c r="H197" s="33"/>
      <c r="I197" s="33"/>
      <c r="J197" s="33"/>
      <c r="L197" s="33"/>
      <c r="M197" s="33"/>
      <c r="N197" s="33"/>
      <c r="O197" s="33"/>
    </row>
    <row r="198" spans="5:15" ht="16.5">
      <c r="E198" s="33"/>
      <c r="F198" s="34"/>
      <c r="G198" s="33"/>
      <c r="H198" s="33"/>
      <c r="I198" s="33"/>
      <c r="J198" s="33"/>
      <c r="L198" s="33"/>
      <c r="M198" s="33"/>
      <c r="N198" s="33"/>
      <c r="O198" s="33"/>
    </row>
    <row r="199" spans="5:15" ht="16.5">
      <c r="E199" s="33"/>
      <c r="F199" s="34"/>
      <c r="G199" s="33"/>
      <c r="H199" s="33"/>
      <c r="I199" s="33"/>
      <c r="J199" s="33"/>
      <c r="L199" s="33"/>
      <c r="M199" s="33"/>
      <c r="N199" s="33"/>
      <c r="O199" s="33"/>
    </row>
    <row r="200" spans="5:15" ht="16.5">
      <c r="E200" s="33"/>
      <c r="F200" s="34"/>
      <c r="G200" s="33"/>
      <c r="H200" s="33"/>
      <c r="I200" s="33"/>
      <c r="J200" s="33"/>
      <c r="L200" s="33"/>
      <c r="M200" s="33"/>
      <c r="N200" s="33"/>
      <c r="O200" s="33"/>
    </row>
    <row r="201" spans="5:15" ht="16.5">
      <c r="E201" s="33"/>
      <c r="F201" s="34"/>
      <c r="G201" s="33"/>
      <c r="H201" s="33"/>
      <c r="I201" s="33"/>
      <c r="J201" s="33"/>
      <c r="L201" s="33"/>
      <c r="M201" s="33"/>
      <c r="N201" s="33"/>
      <c r="O201" s="33"/>
    </row>
    <row r="202" spans="5:15" ht="16.5">
      <c r="E202" s="33"/>
      <c r="F202" s="34"/>
      <c r="G202" s="33"/>
      <c r="H202" s="33"/>
      <c r="I202" s="33"/>
      <c r="J202" s="33"/>
      <c r="L202" s="33"/>
      <c r="M202" s="33"/>
      <c r="N202" s="33"/>
      <c r="O202" s="33"/>
    </row>
    <row r="203" spans="5:15" ht="16.5">
      <c r="E203" s="33"/>
      <c r="F203" s="34"/>
      <c r="G203" s="33"/>
      <c r="H203" s="33"/>
      <c r="I203" s="33"/>
      <c r="J203" s="33"/>
      <c r="L203" s="33"/>
      <c r="M203" s="33"/>
      <c r="N203" s="33"/>
      <c r="O203" s="33"/>
    </row>
    <row r="204" spans="5:15" ht="16.5">
      <c r="E204" s="33"/>
      <c r="F204" s="34"/>
      <c r="G204" s="33"/>
      <c r="H204" s="33"/>
      <c r="I204" s="33"/>
      <c r="J204" s="33"/>
      <c r="L204" s="33"/>
      <c r="M204" s="33"/>
      <c r="N204" s="33"/>
      <c r="O204" s="33"/>
    </row>
    <row r="205" spans="5:15" ht="16.5">
      <c r="E205" s="33"/>
      <c r="F205" s="34"/>
      <c r="G205" s="33"/>
      <c r="H205" s="33"/>
      <c r="I205" s="33"/>
      <c r="J205" s="33"/>
      <c r="L205" s="33"/>
      <c r="M205" s="33"/>
      <c r="N205" s="33"/>
      <c r="O205" s="33"/>
    </row>
    <row r="206" spans="5:15" ht="16.5">
      <c r="E206" s="33"/>
      <c r="F206" s="34"/>
      <c r="G206" s="33"/>
      <c r="H206" s="33"/>
      <c r="I206" s="33"/>
      <c r="J206" s="33"/>
      <c r="L206" s="33"/>
      <c r="M206" s="33"/>
      <c r="N206" s="33"/>
      <c r="O206" s="33"/>
    </row>
    <row r="207" spans="5:15" ht="16.5">
      <c r="E207" s="33"/>
      <c r="F207" s="34"/>
      <c r="G207" s="33"/>
      <c r="H207" s="33"/>
      <c r="I207" s="33"/>
      <c r="J207" s="33"/>
      <c r="L207" s="33"/>
      <c r="M207" s="33"/>
      <c r="N207" s="33"/>
      <c r="O207" s="33"/>
    </row>
    <row r="208" spans="5:15" ht="16.5">
      <c r="E208" s="33"/>
      <c r="F208" s="34"/>
      <c r="G208" s="33"/>
      <c r="H208" s="33"/>
      <c r="I208" s="33"/>
      <c r="J208" s="33"/>
      <c r="L208" s="33"/>
      <c r="M208" s="33"/>
      <c r="N208" s="33"/>
      <c r="O208" s="33"/>
    </row>
    <row r="209" spans="5:15" ht="16.5">
      <c r="E209" s="33"/>
      <c r="F209" s="34"/>
      <c r="G209" s="33"/>
      <c r="H209" s="33"/>
      <c r="I209" s="33"/>
      <c r="J209" s="33"/>
      <c r="L209" s="33"/>
      <c r="M209" s="33"/>
      <c r="N209" s="33"/>
      <c r="O209" s="33"/>
    </row>
    <row r="210" spans="5:15" ht="16.5">
      <c r="E210" s="33"/>
      <c r="F210" s="34"/>
      <c r="G210" s="33"/>
      <c r="H210" s="33"/>
      <c r="I210" s="33"/>
      <c r="J210" s="33"/>
      <c r="L210" s="33"/>
      <c r="M210" s="33"/>
      <c r="N210" s="33"/>
      <c r="O210" s="33"/>
    </row>
    <row r="211" spans="5:15" ht="16.5">
      <c r="E211" s="33"/>
      <c r="F211" s="34"/>
      <c r="G211" s="33"/>
      <c r="H211" s="33"/>
      <c r="I211" s="33"/>
      <c r="J211" s="33"/>
      <c r="L211" s="33"/>
      <c r="M211" s="33"/>
      <c r="N211" s="33"/>
      <c r="O211" s="33"/>
    </row>
    <row r="212" spans="5:15" ht="16.5">
      <c r="E212" s="33"/>
      <c r="F212" s="34"/>
      <c r="G212" s="33"/>
      <c r="H212" s="33"/>
      <c r="I212" s="33"/>
      <c r="J212" s="33"/>
      <c r="L212" s="33"/>
      <c r="M212" s="33"/>
      <c r="N212" s="33"/>
      <c r="O212" s="33"/>
    </row>
    <row r="213" spans="5:15" ht="16.5">
      <c r="E213" s="33"/>
      <c r="F213" s="34"/>
      <c r="G213" s="33"/>
      <c r="H213" s="33"/>
      <c r="I213" s="33"/>
      <c r="J213" s="33"/>
      <c r="L213" s="33"/>
      <c r="M213" s="33"/>
      <c r="N213" s="33"/>
      <c r="O213" s="33"/>
    </row>
    <row r="214" spans="5:15" ht="16.5">
      <c r="E214" s="33"/>
      <c r="F214" s="34"/>
      <c r="G214" s="33"/>
      <c r="H214" s="33"/>
      <c r="I214" s="33"/>
      <c r="J214" s="33"/>
      <c r="L214" s="33"/>
      <c r="M214" s="33"/>
      <c r="N214" s="33"/>
      <c r="O214" s="33"/>
    </row>
    <row r="215" spans="5:15" ht="16.5">
      <c r="E215" s="33"/>
      <c r="F215" s="34"/>
      <c r="G215" s="33"/>
      <c r="H215" s="33"/>
      <c r="I215" s="33"/>
      <c r="J215" s="33"/>
      <c r="L215" s="33"/>
      <c r="M215" s="33"/>
      <c r="N215" s="33"/>
      <c r="O215" s="33"/>
    </row>
    <row r="216" spans="5:15" ht="16.5">
      <c r="E216" s="33"/>
      <c r="F216" s="34"/>
      <c r="G216" s="33"/>
      <c r="H216" s="33"/>
      <c r="I216" s="33"/>
      <c r="J216" s="33"/>
      <c r="L216" s="33"/>
      <c r="M216" s="33"/>
      <c r="N216" s="33"/>
      <c r="O216" s="33"/>
    </row>
    <row r="217" spans="5:15" ht="16.5">
      <c r="E217" s="33"/>
      <c r="F217" s="34"/>
      <c r="G217" s="33"/>
      <c r="H217" s="33"/>
      <c r="I217" s="33"/>
      <c r="J217" s="33"/>
      <c r="L217" s="33"/>
      <c r="M217" s="33"/>
      <c r="N217" s="33"/>
      <c r="O217" s="33"/>
    </row>
    <row r="218" spans="5:15" ht="16.5">
      <c r="E218" s="33"/>
      <c r="F218" s="34"/>
      <c r="G218" s="33"/>
      <c r="H218" s="33"/>
      <c r="I218" s="33"/>
      <c r="J218" s="33"/>
      <c r="L218" s="33"/>
      <c r="M218" s="33"/>
      <c r="N218" s="33"/>
      <c r="O218" s="33"/>
    </row>
    <row r="219" spans="5:15" ht="16.5">
      <c r="E219" s="33"/>
      <c r="F219" s="34"/>
      <c r="G219" s="33"/>
      <c r="H219" s="33"/>
      <c r="I219" s="33"/>
      <c r="J219" s="33"/>
      <c r="L219" s="33"/>
      <c r="M219" s="33"/>
      <c r="N219" s="33"/>
      <c r="O219" s="33"/>
    </row>
    <row r="220" spans="5:15" ht="16.5">
      <c r="E220" s="33"/>
      <c r="F220" s="34"/>
      <c r="G220" s="33"/>
      <c r="H220" s="33"/>
      <c r="I220" s="33"/>
      <c r="J220" s="33"/>
      <c r="L220" s="33"/>
      <c r="M220" s="33"/>
      <c r="N220" s="33"/>
      <c r="O220" s="33"/>
    </row>
    <row r="221" spans="5:15" ht="16.5">
      <c r="E221" s="33"/>
      <c r="F221" s="34"/>
      <c r="G221" s="33"/>
      <c r="H221" s="33"/>
      <c r="I221" s="33"/>
      <c r="J221" s="33"/>
      <c r="L221" s="33"/>
      <c r="M221" s="33"/>
      <c r="N221" s="33"/>
      <c r="O221" s="33"/>
    </row>
    <row r="222" spans="5:15" ht="16.5">
      <c r="E222" s="33"/>
      <c r="F222" s="34"/>
      <c r="G222" s="33"/>
      <c r="H222" s="33"/>
      <c r="I222" s="33"/>
      <c r="J222" s="33"/>
      <c r="L222" s="33"/>
      <c r="M222" s="33"/>
      <c r="N222" s="33"/>
      <c r="O222" s="33"/>
    </row>
    <row r="223" spans="5:15" ht="16.5">
      <c r="E223" s="33"/>
      <c r="F223" s="34"/>
      <c r="G223" s="33"/>
      <c r="H223" s="33"/>
      <c r="I223" s="33"/>
      <c r="J223" s="33"/>
      <c r="L223" s="33"/>
      <c r="M223" s="33"/>
      <c r="N223" s="33"/>
      <c r="O223" s="33"/>
    </row>
    <row r="224" spans="5:15" ht="16.5">
      <c r="E224" s="33"/>
      <c r="F224" s="34"/>
      <c r="G224" s="33"/>
      <c r="H224" s="33"/>
      <c r="I224" s="33"/>
      <c r="J224" s="33"/>
      <c r="L224" s="33"/>
      <c r="M224" s="33"/>
      <c r="N224" s="33"/>
      <c r="O224" s="33"/>
    </row>
    <row r="225" spans="5:15" ht="16.5">
      <c r="E225" s="33"/>
      <c r="F225" s="34"/>
      <c r="G225" s="33"/>
      <c r="H225" s="33"/>
      <c r="I225" s="33"/>
      <c r="J225" s="33"/>
      <c r="L225" s="33"/>
      <c r="M225" s="33"/>
      <c r="N225" s="33"/>
      <c r="O225" s="33"/>
    </row>
    <row r="226" spans="5:15" ht="16.5">
      <c r="E226" s="33"/>
      <c r="F226" s="34"/>
      <c r="G226" s="33"/>
      <c r="H226" s="33"/>
      <c r="I226" s="33"/>
      <c r="J226" s="33"/>
      <c r="L226" s="33"/>
      <c r="M226" s="33"/>
      <c r="N226" s="33"/>
      <c r="O226" s="33"/>
    </row>
    <row r="227" spans="5:15" ht="16.5">
      <c r="E227" s="33"/>
      <c r="F227" s="34"/>
      <c r="G227" s="33"/>
      <c r="H227" s="33"/>
      <c r="I227" s="33"/>
      <c r="J227" s="33"/>
      <c r="L227" s="33"/>
      <c r="M227" s="33"/>
      <c r="N227" s="33"/>
      <c r="O227" s="33"/>
    </row>
    <row r="228" spans="5:15" ht="16.5">
      <c r="E228" s="33"/>
      <c r="F228" s="34"/>
      <c r="G228" s="33"/>
      <c r="H228" s="33"/>
      <c r="I228" s="33"/>
      <c r="J228" s="33"/>
      <c r="L228" s="33"/>
      <c r="M228" s="33"/>
      <c r="N228" s="33"/>
      <c r="O228" s="33"/>
    </row>
    <row r="229" spans="5:15" ht="16.5">
      <c r="E229" s="33"/>
      <c r="F229" s="34"/>
      <c r="G229" s="33"/>
      <c r="H229" s="33"/>
      <c r="I229" s="33"/>
      <c r="J229" s="33"/>
      <c r="L229" s="33"/>
      <c r="M229" s="33"/>
      <c r="N229" s="33"/>
      <c r="O229" s="33"/>
    </row>
    <row r="230" spans="5:15" ht="16.5">
      <c r="E230" s="33"/>
      <c r="F230" s="34"/>
      <c r="G230" s="33"/>
      <c r="H230" s="33"/>
      <c r="I230" s="33"/>
      <c r="J230" s="33"/>
      <c r="L230" s="33"/>
      <c r="M230" s="33"/>
      <c r="N230" s="33"/>
      <c r="O230" s="33"/>
    </row>
    <row r="231" spans="5:15" ht="16.5">
      <c r="E231" s="33"/>
      <c r="F231" s="34"/>
      <c r="G231" s="33"/>
      <c r="H231" s="33"/>
      <c r="I231" s="33"/>
      <c r="J231" s="33"/>
      <c r="L231" s="33"/>
      <c r="M231" s="33"/>
      <c r="N231" s="33"/>
      <c r="O231" s="33"/>
    </row>
    <row r="232" spans="5:15" ht="16.5">
      <c r="E232" s="33"/>
      <c r="F232" s="34"/>
      <c r="G232" s="33"/>
      <c r="H232" s="33"/>
      <c r="I232" s="33"/>
      <c r="J232" s="33"/>
      <c r="L232" s="33"/>
      <c r="M232" s="33"/>
      <c r="N232" s="33"/>
      <c r="O232" s="33"/>
    </row>
    <row r="233" spans="5:15" ht="16.5">
      <c r="E233" s="33"/>
      <c r="F233" s="34"/>
      <c r="G233" s="33"/>
      <c r="H233" s="33"/>
      <c r="I233" s="33"/>
      <c r="J233" s="33"/>
      <c r="L233" s="33"/>
      <c r="M233" s="33"/>
      <c r="N233" s="33"/>
      <c r="O233" s="33"/>
    </row>
    <row r="234" spans="5:15" ht="16.5">
      <c r="E234" s="33"/>
      <c r="F234" s="34"/>
      <c r="G234" s="33"/>
      <c r="H234" s="33"/>
      <c r="I234" s="33"/>
      <c r="J234" s="33"/>
      <c r="L234" s="33"/>
      <c r="M234" s="33"/>
      <c r="N234" s="33"/>
      <c r="O234" s="33"/>
    </row>
    <row r="235" spans="5:15" ht="16.5">
      <c r="E235" s="33"/>
      <c r="F235" s="34"/>
      <c r="G235" s="33"/>
      <c r="H235" s="33"/>
      <c r="I235" s="33"/>
      <c r="J235" s="33"/>
      <c r="L235" s="33"/>
      <c r="M235" s="33"/>
      <c r="N235" s="33"/>
      <c r="O235" s="33"/>
    </row>
    <row r="236" spans="5:15" ht="16.5">
      <c r="E236" s="33"/>
      <c r="F236" s="34"/>
      <c r="G236" s="33"/>
      <c r="H236" s="33"/>
      <c r="I236" s="33"/>
      <c r="J236" s="33"/>
      <c r="L236" s="33"/>
      <c r="M236" s="33"/>
      <c r="N236" s="33"/>
      <c r="O236" s="33"/>
    </row>
    <row r="237" spans="5:15" ht="16.5">
      <c r="E237" s="33"/>
      <c r="F237" s="34"/>
      <c r="G237" s="33"/>
      <c r="H237" s="33"/>
      <c r="I237" s="33"/>
      <c r="J237" s="33"/>
      <c r="L237" s="33"/>
      <c r="M237" s="33"/>
      <c r="N237" s="33"/>
      <c r="O237" s="33"/>
    </row>
    <row r="238" spans="5:15" ht="16.5">
      <c r="E238" s="33"/>
      <c r="F238" s="34"/>
      <c r="G238" s="33"/>
      <c r="H238" s="33"/>
      <c r="I238" s="33"/>
      <c r="J238" s="33"/>
      <c r="L238" s="33"/>
      <c r="M238" s="33"/>
      <c r="N238" s="33"/>
      <c r="O238" s="33"/>
    </row>
    <row r="239" spans="5:15" ht="16.5">
      <c r="E239" s="33"/>
      <c r="F239" s="34"/>
      <c r="G239" s="33"/>
      <c r="H239" s="33"/>
      <c r="I239" s="33"/>
      <c r="J239" s="33"/>
      <c r="L239" s="33"/>
      <c r="M239" s="33"/>
      <c r="N239" s="33"/>
      <c r="O239" s="33"/>
    </row>
    <row r="240" spans="5:15" ht="16.5">
      <c r="E240" s="33"/>
      <c r="F240" s="34"/>
      <c r="G240" s="33"/>
      <c r="H240" s="33"/>
      <c r="I240" s="33"/>
      <c r="J240" s="33"/>
      <c r="L240" s="33"/>
      <c r="M240" s="33"/>
      <c r="N240" s="33"/>
      <c r="O240" s="33"/>
    </row>
    <row r="241" spans="5:15" ht="16.5">
      <c r="E241" s="33"/>
      <c r="F241" s="34"/>
      <c r="G241" s="33"/>
      <c r="H241" s="33"/>
      <c r="I241" s="33"/>
      <c r="J241" s="33"/>
      <c r="L241" s="33"/>
      <c r="M241" s="33"/>
      <c r="N241" s="33"/>
      <c r="O241" s="33"/>
    </row>
    <row r="242" spans="5:15" ht="16.5">
      <c r="E242" s="33"/>
      <c r="F242" s="34"/>
      <c r="G242" s="33"/>
      <c r="H242" s="33"/>
      <c r="I242" s="33"/>
      <c r="J242" s="33"/>
      <c r="L242" s="33"/>
      <c r="M242" s="33"/>
      <c r="N242" s="33"/>
      <c r="O242" s="33"/>
    </row>
    <row r="243" spans="5:15" ht="16.5">
      <c r="E243" s="33"/>
      <c r="F243" s="34"/>
      <c r="G243" s="33"/>
      <c r="H243" s="33"/>
      <c r="I243" s="33"/>
      <c r="J243" s="33"/>
      <c r="L243" s="33"/>
      <c r="M243" s="33"/>
      <c r="N243" s="33"/>
      <c r="O243" s="33"/>
    </row>
    <row r="244" spans="5:15" ht="16.5">
      <c r="E244" s="33"/>
      <c r="F244" s="34"/>
      <c r="G244" s="33"/>
      <c r="H244" s="33"/>
      <c r="I244" s="33"/>
      <c r="J244" s="33"/>
      <c r="L244" s="33"/>
      <c r="M244" s="33"/>
      <c r="N244" s="33"/>
      <c r="O244" s="33"/>
    </row>
    <row r="245" spans="5:15" ht="16.5">
      <c r="E245" s="33"/>
      <c r="F245" s="34"/>
      <c r="G245" s="33"/>
      <c r="H245" s="33"/>
      <c r="I245" s="33"/>
      <c r="J245" s="33"/>
      <c r="L245" s="33"/>
      <c r="M245" s="33"/>
      <c r="N245" s="33"/>
      <c r="O245" s="33"/>
    </row>
    <row r="246" spans="5:15" ht="16.5">
      <c r="E246" s="33"/>
      <c r="F246" s="34"/>
      <c r="G246" s="33"/>
      <c r="H246" s="33"/>
      <c r="I246" s="33"/>
      <c r="J246" s="33"/>
      <c r="L246" s="33"/>
      <c r="M246" s="33"/>
      <c r="N246" s="33"/>
      <c r="O246" s="33"/>
    </row>
    <row r="247" spans="5:15" ht="16.5">
      <c r="E247" s="33"/>
      <c r="F247" s="34"/>
      <c r="G247" s="33"/>
      <c r="H247" s="33"/>
      <c r="I247" s="33"/>
      <c r="J247" s="33"/>
      <c r="L247" s="33"/>
      <c r="M247" s="33"/>
      <c r="N247" s="33"/>
      <c r="O247" s="33"/>
    </row>
    <row r="248" spans="5:15" ht="16.5">
      <c r="E248" s="33"/>
      <c r="F248" s="34"/>
      <c r="G248" s="33"/>
      <c r="H248" s="33"/>
      <c r="I248" s="33"/>
      <c r="J248" s="33"/>
      <c r="L248" s="33"/>
      <c r="M248" s="33"/>
      <c r="N248" s="33"/>
      <c r="O248" s="33"/>
    </row>
    <row r="249" spans="5:15" ht="16.5">
      <c r="E249" s="33"/>
      <c r="F249" s="34"/>
      <c r="G249" s="33"/>
      <c r="H249" s="33"/>
      <c r="I249" s="33"/>
      <c r="J249" s="33"/>
      <c r="L249" s="33"/>
      <c r="M249" s="33"/>
      <c r="N249" s="33"/>
      <c r="O249" s="33"/>
    </row>
    <row r="250" spans="5:15" ht="16.5">
      <c r="E250" s="33"/>
      <c r="F250" s="34"/>
      <c r="G250" s="33"/>
      <c r="H250" s="33"/>
      <c r="I250" s="33"/>
      <c r="J250" s="33"/>
      <c r="L250" s="33"/>
      <c r="M250" s="33"/>
      <c r="N250" s="33"/>
      <c r="O250" s="33"/>
    </row>
    <row r="251" spans="5:15" ht="16.5">
      <c r="E251" s="33"/>
      <c r="F251" s="34"/>
      <c r="G251" s="33"/>
      <c r="H251" s="33"/>
      <c r="I251" s="33"/>
      <c r="J251" s="33"/>
      <c r="L251" s="33"/>
      <c r="M251" s="33"/>
      <c r="N251" s="33"/>
      <c r="O251" s="33"/>
    </row>
    <row r="252" spans="5:15" ht="16.5">
      <c r="E252" s="33"/>
      <c r="F252" s="34"/>
      <c r="G252" s="33"/>
      <c r="H252" s="33"/>
      <c r="I252" s="33"/>
      <c r="J252" s="33"/>
      <c r="L252" s="33"/>
      <c r="M252" s="33"/>
      <c r="N252" s="33"/>
      <c r="O252" s="33"/>
    </row>
    <row r="253" spans="5:15" ht="16.5">
      <c r="E253" s="33"/>
      <c r="F253" s="34"/>
      <c r="G253" s="33"/>
      <c r="H253" s="33"/>
      <c r="I253" s="33"/>
      <c r="J253" s="33"/>
      <c r="L253" s="33"/>
      <c r="M253" s="33"/>
      <c r="N253" s="33"/>
      <c r="O253" s="33"/>
    </row>
    <row r="254" spans="5:15" ht="16.5">
      <c r="E254" s="33"/>
      <c r="F254" s="34"/>
      <c r="G254" s="33"/>
      <c r="H254" s="33"/>
      <c r="I254" s="33"/>
      <c r="J254" s="33"/>
      <c r="L254" s="33"/>
      <c r="M254" s="33"/>
      <c r="N254" s="33"/>
      <c r="O254" s="33"/>
    </row>
    <row r="255" spans="5:15" ht="16.5">
      <c r="E255" s="33"/>
      <c r="F255" s="34"/>
      <c r="G255" s="33"/>
      <c r="H255" s="33"/>
      <c r="I255" s="33"/>
      <c r="J255" s="33"/>
      <c r="L255" s="33"/>
      <c r="M255" s="33"/>
      <c r="N255" s="33"/>
      <c r="O255" s="33"/>
    </row>
    <row r="256" spans="5:15" ht="16.5">
      <c r="E256" s="33"/>
      <c r="F256" s="34"/>
      <c r="G256" s="33"/>
      <c r="H256" s="33"/>
      <c r="I256" s="33"/>
      <c r="J256" s="33"/>
      <c r="L256" s="33"/>
      <c r="M256" s="33"/>
      <c r="N256" s="33"/>
      <c r="O256" s="33"/>
    </row>
    <row r="257" spans="5:15" ht="16.5">
      <c r="E257" s="33"/>
      <c r="F257" s="34"/>
      <c r="G257" s="33"/>
      <c r="H257" s="33"/>
      <c r="I257" s="33"/>
      <c r="J257" s="33"/>
      <c r="L257" s="33"/>
      <c r="M257" s="33"/>
      <c r="N257" s="33"/>
      <c r="O257" s="33"/>
    </row>
    <row r="258" spans="5:15" ht="16.5">
      <c r="E258" s="33"/>
      <c r="F258" s="34"/>
      <c r="G258" s="33"/>
      <c r="H258" s="33"/>
      <c r="I258" s="33"/>
      <c r="J258" s="33"/>
      <c r="L258" s="33"/>
      <c r="M258" s="33"/>
      <c r="N258" s="33"/>
      <c r="O258" s="33"/>
    </row>
    <row r="259" spans="5:15" ht="16.5">
      <c r="E259" s="33"/>
      <c r="F259" s="34"/>
      <c r="G259" s="33"/>
      <c r="H259" s="33"/>
      <c r="I259" s="33"/>
      <c r="J259" s="33"/>
      <c r="L259" s="33"/>
      <c r="M259" s="33"/>
      <c r="N259" s="33"/>
      <c r="O259" s="33"/>
    </row>
    <row r="260" spans="5:15" ht="16.5">
      <c r="E260" s="33"/>
      <c r="F260" s="34"/>
      <c r="G260" s="33"/>
      <c r="H260" s="33"/>
      <c r="I260" s="33"/>
      <c r="J260" s="33"/>
      <c r="L260" s="33"/>
      <c r="M260" s="33"/>
      <c r="N260" s="33"/>
      <c r="O260" s="33"/>
    </row>
    <row r="261" spans="5:15" ht="16.5">
      <c r="E261" s="33"/>
      <c r="F261" s="34"/>
      <c r="G261" s="33"/>
      <c r="H261" s="33"/>
      <c r="I261" s="33"/>
      <c r="J261" s="33"/>
      <c r="L261" s="33"/>
      <c r="M261" s="33"/>
      <c r="N261" s="33"/>
      <c r="O261" s="33"/>
    </row>
    <row r="262" spans="5:15" ht="16.5">
      <c r="E262" s="33"/>
      <c r="F262" s="34"/>
      <c r="G262" s="33"/>
      <c r="H262" s="33"/>
      <c r="I262" s="33"/>
      <c r="J262" s="33"/>
      <c r="L262" s="33"/>
      <c r="M262" s="33"/>
      <c r="N262" s="33"/>
      <c r="O262" s="33"/>
    </row>
    <row r="263" spans="5:15" ht="16.5">
      <c r="E263" s="33"/>
      <c r="F263" s="34"/>
      <c r="G263" s="33"/>
      <c r="H263" s="33"/>
      <c r="I263" s="33"/>
      <c r="J263" s="33"/>
      <c r="L263" s="33"/>
      <c r="M263" s="33"/>
      <c r="N263" s="33"/>
      <c r="O263" s="33"/>
    </row>
    <row r="264" spans="5:15" ht="16.5">
      <c r="E264" s="33"/>
      <c r="F264" s="34"/>
      <c r="G264" s="33"/>
      <c r="H264" s="33"/>
      <c r="I264" s="33"/>
      <c r="J264" s="33"/>
      <c r="L264" s="33"/>
      <c r="M264" s="33"/>
      <c r="N264" s="33"/>
      <c r="O264" s="33"/>
    </row>
    <row r="265" spans="5:15" ht="16.5">
      <c r="E265" s="33"/>
      <c r="F265" s="34"/>
      <c r="G265" s="33"/>
      <c r="H265" s="33"/>
      <c r="I265" s="33"/>
      <c r="J265" s="33"/>
      <c r="L265" s="33"/>
      <c r="M265" s="33"/>
      <c r="N265" s="33"/>
      <c r="O265" s="33"/>
    </row>
    <row r="266" spans="5:15" ht="16.5">
      <c r="E266" s="33"/>
      <c r="F266" s="34"/>
      <c r="G266" s="33"/>
      <c r="H266" s="33"/>
      <c r="I266" s="33"/>
      <c r="J266" s="33"/>
      <c r="L266" s="33"/>
      <c r="M266" s="33"/>
      <c r="N266" s="33"/>
      <c r="O266" s="33"/>
    </row>
    <row r="267" spans="5:15" ht="16.5">
      <c r="E267" s="33"/>
      <c r="F267" s="34"/>
      <c r="G267" s="33"/>
      <c r="H267" s="33"/>
      <c r="I267" s="33"/>
      <c r="J267" s="33"/>
      <c r="L267" s="33"/>
      <c r="M267" s="33"/>
      <c r="N267" s="33"/>
      <c r="O267" s="33"/>
    </row>
    <row r="268" spans="5:15" ht="16.5">
      <c r="E268" s="33"/>
      <c r="F268" s="34"/>
      <c r="G268" s="33"/>
      <c r="H268" s="33"/>
      <c r="I268" s="33"/>
      <c r="J268" s="33"/>
      <c r="L268" s="33"/>
      <c r="M268" s="33"/>
      <c r="N268" s="33"/>
      <c r="O268" s="33"/>
    </row>
    <row r="269" spans="5:15" ht="16.5">
      <c r="E269" s="33"/>
      <c r="F269" s="34"/>
      <c r="G269" s="33"/>
      <c r="H269" s="33"/>
      <c r="I269" s="33"/>
      <c r="J269" s="33"/>
      <c r="L269" s="33"/>
      <c r="M269" s="33"/>
      <c r="N269" s="33"/>
      <c r="O269" s="33"/>
    </row>
    <row r="270" spans="5:15" ht="16.5">
      <c r="E270" s="33"/>
      <c r="F270" s="34"/>
      <c r="G270" s="33"/>
      <c r="H270" s="33"/>
      <c r="I270" s="33"/>
      <c r="J270" s="33"/>
      <c r="L270" s="33"/>
      <c r="M270" s="33"/>
      <c r="N270" s="33"/>
      <c r="O270" s="33"/>
    </row>
    <row r="271" spans="5:15" ht="16.5">
      <c r="E271" s="33"/>
      <c r="F271" s="34"/>
      <c r="G271" s="33"/>
      <c r="H271" s="33"/>
      <c r="I271" s="33"/>
      <c r="J271" s="33"/>
      <c r="L271" s="33"/>
      <c r="M271" s="33"/>
      <c r="N271" s="33"/>
      <c r="O271" s="33"/>
    </row>
    <row r="272" spans="5:15" ht="16.5">
      <c r="E272" s="33"/>
      <c r="F272" s="34"/>
      <c r="G272" s="33"/>
      <c r="H272" s="33"/>
      <c r="I272" s="33"/>
      <c r="J272" s="33"/>
      <c r="L272" s="33"/>
      <c r="M272" s="33"/>
      <c r="N272" s="33"/>
      <c r="O272" s="33"/>
    </row>
    <row r="273" spans="5:15" ht="16.5">
      <c r="E273" s="33"/>
      <c r="F273" s="34"/>
      <c r="G273" s="33"/>
      <c r="H273" s="33"/>
      <c r="I273" s="33"/>
      <c r="J273" s="33"/>
      <c r="L273" s="33"/>
      <c r="M273" s="33"/>
      <c r="N273" s="33"/>
      <c r="O273" s="33"/>
    </row>
    <row r="274" spans="5:15" ht="16.5">
      <c r="E274" s="33"/>
      <c r="F274" s="34"/>
      <c r="G274" s="33"/>
      <c r="H274" s="33"/>
      <c r="I274" s="33"/>
      <c r="J274" s="33"/>
      <c r="L274" s="33"/>
      <c r="M274" s="33"/>
      <c r="N274" s="33"/>
      <c r="O274" s="33"/>
    </row>
    <row r="275" spans="5:15" ht="16.5">
      <c r="E275" s="33"/>
      <c r="F275" s="34"/>
      <c r="G275" s="33"/>
      <c r="H275" s="33"/>
      <c r="I275" s="33"/>
      <c r="J275" s="33"/>
      <c r="L275" s="33"/>
      <c r="M275" s="33"/>
      <c r="N275" s="33"/>
      <c r="O275" s="33"/>
    </row>
    <row r="276" spans="5:15" ht="16.5">
      <c r="E276" s="33"/>
      <c r="F276" s="34"/>
      <c r="G276" s="33"/>
      <c r="H276" s="33"/>
      <c r="I276" s="33"/>
      <c r="J276" s="33"/>
      <c r="L276" s="33"/>
      <c r="M276" s="33"/>
      <c r="N276" s="33"/>
      <c r="O276" s="33"/>
    </row>
    <row r="277" spans="5:15" ht="16.5">
      <c r="E277" s="33"/>
      <c r="F277" s="34"/>
      <c r="G277" s="33"/>
      <c r="H277" s="33"/>
      <c r="I277" s="33"/>
      <c r="J277" s="33"/>
      <c r="L277" s="33"/>
      <c r="M277" s="33"/>
      <c r="N277" s="33"/>
      <c r="O277" s="33"/>
    </row>
    <row r="278" spans="5:15" ht="16.5">
      <c r="E278" s="33"/>
      <c r="F278" s="34"/>
      <c r="G278" s="33"/>
      <c r="H278" s="33"/>
      <c r="I278" s="33"/>
      <c r="J278" s="33"/>
      <c r="L278" s="33"/>
      <c r="M278" s="33"/>
      <c r="N278" s="33"/>
      <c r="O278" s="33"/>
    </row>
    <row r="279" spans="5:15" ht="16.5">
      <c r="E279" s="33"/>
      <c r="F279" s="34"/>
      <c r="G279" s="33"/>
      <c r="H279" s="33"/>
      <c r="I279" s="33"/>
      <c r="J279" s="33"/>
      <c r="L279" s="33"/>
      <c r="M279" s="33"/>
      <c r="N279" s="33"/>
      <c r="O279" s="33"/>
    </row>
    <row r="280" spans="5:15" ht="16.5">
      <c r="E280" s="33"/>
      <c r="F280" s="34"/>
      <c r="G280" s="33"/>
      <c r="H280" s="33"/>
      <c r="I280" s="33"/>
      <c r="J280" s="33"/>
      <c r="L280" s="33"/>
      <c r="M280" s="33"/>
      <c r="N280" s="33"/>
      <c r="O280" s="33"/>
    </row>
    <row r="281" spans="5:15" ht="16.5">
      <c r="E281" s="33"/>
      <c r="F281" s="34"/>
      <c r="G281" s="33"/>
      <c r="H281" s="33"/>
      <c r="I281" s="33"/>
      <c r="J281" s="33"/>
      <c r="L281" s="33"/>
      <c r="M281" s="33"/>
      <c r="N281" s="33"/>
      <c r="O281" s="33"/>
    </row>
    <row r="282" spans="5:15" ht="16.5">
      <c r="E282" s="33"/>
      <c r="F282" s="34"/>
      <c r="G282" s="33"/>
      <c r="H282" s="33"/>
      <c r="I282" s="33"/>
      <c r="J282" s="33"/>
      <c r="L282" s="33"/>
      <c r="M282" s="33"/>
      <c r="N282" s="33"/>
      <c r="O282" s="33"/>
    </row>
    <row r="283" spans="5:15" ht="16.5">
      <c r="E283" s="33"/>
      <c r="F283" s="34"/>
      <c r="G283" s="33"/>
      <c r="H283" s="33"/>
      <c r="I283" s="33"/>
      <c r="J283" s="33"/>
      <c r="L283" s="33"/>
      <c r="M283" s="33"/>
      <c r="N283" s="33"/>
      <c r="O283" s="33"/>
    </row>
    <row r="284" spans="5:15" ht="16.5">
      <c r="E284" s="33"/>
      <c r="F284" s="34"/>
      <c r="G284" s="33"/>
      <c r="H284" s="33"/>
      <c r="I284" s="33"/>
      <c r="J284" s="33"/>
      <c r="L284" s="33"/>
      <c r="M284" s="33"/>
      <c r="N284" s="33"/>
      <c r="O284" s="33"/>
    </row>
    <row r="285" spans="5:15" ht="16.5">
      <c r="E285" s="33"/>
      <c r="F285" s="34"/>
      <c r="G285" s="33"/>
      <c r="H285" s="33"/>
      <c r="I285" s="33"/>
      <c r="J285" s="33"/>
      <c r="L285" s="33"/>
      <c r="M285" s="33"/>
      <c r="N285" s="33"/>
      <c r="O285" s="33"/>
    </row>
    <row r="286" spans="5:15" ht="16.5">
      <c r="E286" s="33"/>
      <c r="F286" s="34"/>
      <c r="G286" s="33"/>
      <c r="H286" s="33"/>
      <c r="I286" s="33"/>
      <c r="J286" s="33"/>
      <c r="L286" s="33"/>
      <c r="M286" s="33"/>
      <c r="N286" s="33"/>
      <c r="O286" s="33"/>
    </row>
    <row r="287" spans="5:15" ht="16.5">
      <c r="E287" s="33"/>
      <c r="F287" s="34"/>
      <c r="G287" s="33"/>
      <c r="H287" s="33"/>
      <c r="I287" s="33"/>
      <c r="J287" s="33"/>
      <c r="L287" s="33"/>
      <c r="M287" s="33"/>
      <c r="N287" s="33"/>
      <c r="O287" s="33"/>
    </row>
    <row r="288" spans="5:15" ht="16.5">
      <c r="E288" s="33"/>
      <c r="F288" s="34"/>
      <c r="G288" s="33"/>
      <c r="H288" s="33"/>
      <c r="I288" s="33"/>
      <c r="J288" s="33"/>
      <c r="L288" s="33"/>
      <c r="M288" s="33"/>
      <c r="N288" s="33"/>
      <c r="O288" s="33"/>
    </row>
    <row r="289" spans="5:15" ht="16.5">
      <c r="E289" s="33"/>
      <c r="F289" s="34"/>
      <c r="G289" s="33"/>
      <c r="H289" s="33"/>
      <c r="I289" s="33"/>
      <c r="J289" s="33"/>
      <c r="L289" s="33"/>
      <c r="M289" s="33"/>
      <c r="N289" s="33"/>
      <c r="O289" s="33"/>
    </row>
    <row r="290" spans="5:15" ht="16.5">
      <c r="E290" s="33"/>
      <c r="F290" s="34"/>
      <c r="G290" s="33"/>
      <c r="H290" s="33"/>
      <c r="I290" s="33"/>
      <c r="J290" s="33"/>
      <c r="L290" s="33"/>
      <c r="M290" s="33"/>
      <c r="N290" s="33"/>
      <c r="O290" s="33"/>
    </row>
    <row r="291" spans="5:15" ht="16.5">
      <c r="E291" s="33"/>
      <c r="F291" s="34"/>
      <c r="G291" s="33"/>
      <c r="H291" s="33"/>
      <c r="I291" s="33"/>
      <c r="J291" s="33"/>
      <c r="L291" s="33"/>
      <c r="M291" s="33"/>
      <c r="N291" s="33"/>
      <c r="O291" s="33"/>
    </row>
    <row r="292" spans="5:15" ht="16.5">
      <c r="E292" s="33"/>
      <c r="F292" s="34"/>
      <c r="G292" s="33"/>
      <c r="H292" s="33"/>
      <c r="I292" s="33"/>
      <c r="J292" s="33"/>
      <c r="L292" s="33"/>
      <c r="M292" s="33"/>
      <c r="N292" s="33"/>
      <c r="O292" s="33"/>
    </row>
    <row r="293" spans="5:15" ht="16.5">
      <c r="E293" s="33"/>
      <c r="F293" s="34"/>
      <c r="G293" s="33"/>
      <c r="H293" s="33"/>
      <c r="I293" s="33"/>
      <c r="J293" s="33"/>
      <c r="L293" s="33"/>
      <c r="M293" s="33"/>
      <c r="N293" s="33"/>
      <c r="O293" s="33"/>
    </row>
    <row r="294" spans="5:15" ht="16.5">
      <c r="E294" s="33"/>
      <c r="F294" s="34"/>
      <c r="G294" s="33"/>
      <c r="H294" s="33"/>
      <c r="I294" s="33"/>
      <c r="J294" s="33"/>
      <c r="L294" s="33"/>
      <c r="M294" s="33"/>
      <c r="N294" s="33"/>
      <c r="O294" s="33"/>
    </row>
    <row r="295" spans="5:15" ht="16.5">
      <c r="E295" s="33"/>
      <c r="F295" s="34"/>
      <c r="G295" s="33"/>
      <c r="H295" s="33"/>
      <c r="I295" s="33"/>
      <c r="J295" s="33"/>
      <c r="L295" s="33"/>
      <c r="M295" s="33"/>
      <c r="N295" s="33"/>
      <c r="O295" s="33"/>
    </row>
    <row r="296" spans="5:15" ht="16.5">
      <c r="E296" s="33"/>
      <c r="F296" s="34"/>
      <c r="G296" s="33"/>
      <c r="H296" s="33"/>
      <c r="I296" s="33"/>
      <c r="J296" s="33"/>
      <c r="L296" s="33"/>
      <c r="M296" s="33"/>
      <c r="N296" s="33"/>
      <c r="O296" s="33"/>
    </row>
    <row r="297" spans="5:15" ht="16.5">
      <c r="E297" s="33"/>
      <c r="F297" s="34"/>
      <c r="G297" s="33"/>
      <c r="H297" s="33"/>
      <c r="I297" s="33"/>
      <c r="J297" s="33"/>
      <c r="L297" s="33"/>
      <c r="M297" s="33"/>
      <c r="N297" s="33"/>
      <c r="O297" s="33"/>
    </row>
    <row r="298" spans="5:15" ht="16.5">
      <c r="E298" s="33"/>
      <c r="F298" s="34"/>
      <c r="G298" s="33"/>
      <c r="H298" s="33"/>
      <c r="I298" s="33"/>
      <c r="J298" s="33"/>
      <c r="L298" s="33"/>
      <c r="M298" s="33"/>
      <c r="N298" s="33"/>
      <c r="O298" s="33"/>
    </row>
    <row r="299" spans="5:15" ht="16.5">
      <c r="E299" s="33"/>
      <c r="F299" s="34"/>
      <c r="G299" s="33"/>
      <c r="H299" s="33"/>
      <c r="I299" s="33"/>
      <c r="J299" s="33"/>
      <c r="L299" s="33"/>
      <c r="M299" s="33"/>
      <c r="N299" s="33"/>
      <c r="O299" s="33"/>
    </row>
    <row r="300" spans="5:15" ht="16.5">
      <c r="E300" s="33"/>
      <c r="F300" s="34"/>
      <c r="G300" s="33"/>
      <c r="H300" s="33"/>
      <c r="I300" s="33"/>
      <c r="J300" s="33"/>
      <c r="L300" s="33"/>
      <c r="M300" s="33"/>
      <c r="N300" s="33"/>
      <c r="O300" s="33"/>
    </row>
    <row r="301" spans="5:15" ht="16.5">
      <c r="E301" s="33"/>
      <c r="F301" s="34"/>
      <c r="G301" s="33"/>
      <c r="H301" s="33"/>
      <c r="I301" s="33"/>
      <c r="J301" s="33"/>
      <c r="L301" s="33"/>
      <c r="M301" s="33"/>
      <c r="N301" s="33"/>
      <c r="O301" s="33"/>
    </row>
    <row r="302" spans="5:15" ht="16.5">
      <c r="E302" s="33"/>
      <c r="F302" s="34"/>
      <c r="G302" s="33"/>
      <c r="H302" s="33"/>
      <c r="I302" s="33"/>
      <c r="J302" s="33"/>
      <c r="L302" s="33"/>
      <c r="M302" s="33"/>
      <c r="N302" s="33"/>
      <c r="O302" s="33"/>
    </row>
    <row r="303" spans="5:15" ht="16.5">
      <c r="E303" s="33"/>
      <c r="F303" s="34"/>
      <c r="G303" s="33"/>
      <c r="H303" s="33"/>
      <c r="I303" s="33"/>
      <c r="J303" s="33"/>
      <c r="L303" s="33"/>
      <c r="M303" s="33"/>
      <c r="N303" s="33"/>
      <c r="O303" s="33"/>
    </row>
    <row r="304" spans="5:15" ht="16.5">
      <c r="E304" s="33"/>
      <c r="F304" s="34"/>
      <c r="G304" s="33"/>
      <c r="H304" s="33"/>
      <c r="I304" s="33"/>
      <c r="J304" s="33"/>
      <c r="L304" s="33"/>
      <c r="M304" s="33"/>
      <c r="N304" s="33"/>
      <c r="O304" s="33"/>
    </row>
    <row r="305" spans="5:15" ht="16.5">
      <c r="E305" s="33"/>
      <c r="F305" s="34"/>
      <c r="G305" s="33"/>
      <c r="H305" s="33"/>
      <c r="I305" s="33"/>
      <c r="J305" s="33"/>
      <c r="L305" s="33"/>
      <c r="M305" s="33"/>
      <c r="N305" s="33"/>
      <c r="O305" s="33"/>
    </row>
    <row r="306" spans="5:15" ht="16.5">
      <c r="E306" s="33"/>
      <c r="F306" s="34"/>
      <c r="G306" s="33"/>
      <c r="H306" s="33"/>
      <c r="I306" s="33"/>
      <c r="J306" s="33"/>
      <c r="L306" s="33"/>
      <c r="M306" s="33"/>
      <c r="N306" s="33"/>
      <c r="O306" s="33"/>
    </row>
    <row r="307" spans="5:15" ht="16.5">
      <c r="E307" s="33"/>
      <c r="F307" s="34"/>
      <c r="G307" s="33"/>
      <c r="H307" s="33"/>
      <c r="I307" s="33"/>
      <c r="J307" s="33"/>
      <c r="L307" s="33"/>
      <c r="M307" s="33"/>
      <c r="N307" s="33"/>
      <c r="O307" s="33"/>
    </row>
    <row r="308" spans="5:15" ht="16.5">
      <c r="E308" s="33"/>
      <c r="F308" s="34"/>
      <c r="G308" s="33"/>
      <c r="H308" s="33"/>
      <c r="I308" s="33"/>
      <c r="J308" s="33"/>
      <c r="L308" s="33"/>
      <c r="M308" s="33"/>
      <c r="N308" s="33"/>
      <c r="O308" s="33"/>
    </row>
    <row r="309" spans="5:15" ht="16.5">
      <c r="E309" s="33"/>
      <c r="F309" s="34"/>
      <c r="G309" s="33"/>
      <c r="H309" s="33"/>
      <c r="I309" s="33"/>
      <c r="J309" s="33"/>
      <c r="L309" s="33"/>
      <c r="M309" s="33"/>
      <c r="N309" s="33"/>
      <c r="O309" s="33"/>
    </row>
    <row r="310" spans="5:15" ht="16.5">
      <c r="E310" s="33"/>
      <c r="F310" s="34"/>
      <c r="G310" s="33"/>
      <c r="H310" s="33"/>
      <c r="I310" s="33"/>
      <c r="J310" s="33"/>
      <c r="L310" s="33"/>
      <c r="M310" s="33"/>
      <c r="N310" s="33"/>
      <c r="O310" s="33"/>
    </row>
    <row r="311" spans="5:15" ht="16.5">
      <c r="E311" s="33"/>
      <c r="F311" s="34"/>
      <c r="G311" s="33"/>
      <c r="H311" s="33"/>
      <c r="I311" s="33"/>
      <c r="J311" s="33"/>
      <c r="L311" s="33"/>
      <c r="M311" s="33"/>
      <c r="N311" s="33"/>
      <c r="O311" s="33"/>
    </row>
    <row r="312" spans="5:15" ht="16.5">
      <c r="E312" s="33"/>
      <c r="F312" s="34"/>
      <c r="G312" s="33"/>
      <c r="H312" s="33"/>
      <c r="I312" s="33"/>
      <c r="J312" s="33"/>
      <c r="L312" s="33"/>
      <c r="M312" s="33"/>
      <c r="N312" s="33"/>
      <c r="O312" s="33"/>
    </row>
    <row r="313" spans="5:15" ht="16.5">
      <c r="E313" s="33"/>
      <c r="F313" s="34"/>
      <c r="G313" s="33"/>
      <c r="H313" s="33"/>
      <c r="I313" s="33"/>
      <c r="J313" s="33"/>
      <c r="L313" s="33"/>
      <c r="M313" s="33"/>
      <c r="N313" s="33"/>
      <c r="O313" s="33"/>
    </row>
    <row r="314" spans="5:15" ht="16.5">
      <c r="E314" s="33"/>
      <c r="F314" s="34"/>
      <c r="G314" s="33"/>
      <c r="H314" s="33"/>
      <c r="I314" s="33"/>
      <c r="J314" s="33"/>
      <c r="L314" s="33"/>
      <c r="M314" s="33"/>
      <c r="N314" s="33"/>
      <c r="O314" s="33"/>
    </row>
    <row r="315" spans="5:15" ht="16.5">
      <c r="E315" s="33"/>
      <c r="F315" s="34"/>
      <c r="G315" s="33"/>
      <c r="H315" s="33"/>
      <c r="I315" s="33"/>
      <c r="J315" s="33"/>
      <c r="L315" s="33"/>
      <c r="M315" s="33"/>
      <c r="N315" s="33"/>
      <c r="O315" s="33"/>
    </row>
    <row r="316" spans="5:15" ht="16.5">
      <c r="E316" s="33"/>
      <c r="F316" s="34"/>
      <c r="G316" s="33"/>
      <c r="H316" s="33"/>
      <c r="I316" s="33"/>
      <c r="J316" s="33"/>
      <c r="L316" s="33"/>
      <c r="M316" s="33"/>
      <c r="N316" s="33"/>
      <c r="O316" s="33"/>
    </row>
    <row r="317" spans="5:15" ht="16.5">
      <c r="E317" s="33"/>
      <c r="F317" s="34"/>
      <c r="G317" s="33"/>
      <c r="H317" s="33"/>
      <c r="I317" s="33"/>
      <c r="J317" s="33"/>
      <c r="L317" s="33"/>
      <c r="M317" s="33"/>
      <c r="N317" s="33"/>
      <c r="O317" s="33"/>
    </row>
    <row r="318" spans="5:15" ht="16.5">
      <c r="E318" s="33"/>
      <c r="F318" s="34"/>
      <c r="G318" s="33"/>
      <c r="H318" s="33"/>
      <c r="I318" s="33"/>
      <c r="J318" s="33"/>
      <c r="L318" s="33"/>
      <c r="M318" s="33"/>
      <c r="N318" s="33"/>
      <c r="O318" s="33"/>
    </row>
    <row r="319" spans="5:15" ht="16.5">
      <c r="E319" s="33"/>
      <c r="F319" s="34"/>
      <c r="G319" s="33"/>
      <c r="H319" s="33"/>
      <c r="I319" s="33"/>
      <c r="J319" s="33"/>
      <c r="L319" s="33"/>
      <c r="M319" s="33"/>
      <c r="N319" s="33"/>
      <c r="O319" s="33"/>
    </row>
    <row r="320" spans="5:15" ht="16.5">
      <c r="E320" s="33"/>
      <c r="F320" s="34"/>
      <c r="G320" s="33"/>
      <c r="H320" s="33"/>
      <c r="I320" s="33"/>
      <c r="J320" s="33"/>
      <c r="L320" s="33"/>
      <c r="M320" s="33"/>
      <c r="N320" s="33"/>
      <c r="O320" s="33"/>
    </row>
    <row r="321" spans="5:15" ht="16.5">
      <c r="E321" s="33"/>
      <c r="F321" s="34"/>
      <c r="G321" s="33"/>
      <c r="H321" s="33"/>
      <c r="I321" s="33"/>
      <c r="J321" s="33"/>
      <c r="L321" s="33"/>
      <c r="M321" s="33"/>
      <c r="N321" s="33"/>
      <c r="O321" s="33"/>
    </row>
    <row r="322" spans="5:15" ht="16.5">
      <c r="E322" s="33"/>
      <c r="F322" s="34"/>
      <c r="G322" s="33"/>
      <c r="H322" s="33"/>
      <c r="I322" s="33"/>
      <c r="J322" s="33"/>
      <c r="L322" s="33"/>
      <c r="M322" s="33"/>
      <c r="N322" s="33"/>
      <c r="O322" s="33"/>
    </row>
    <row r="323" spans="5:15" ht="16.5">
      <c r="E323" s="33"/>
      <c r="F323" s="34"/>
      <c r="G323" s="33"/>
      <c r="H323" s="33"/>
      <c r="I323" s="33"/>
      <c r="J323" s="33"/>
      <c r="L323" s="33"/>
      <c r="M323" s="33"/>
      <c r="N323" s="33"/>
      <c r="O323" s="33"/>
    </row>
    <row r="324" spans="5:15" ht="16.5">
      <c r="E324" s="33"/>
      <c r="F324" s="34"/>
      <c r="G324" s="33"/>
      <c r="H324" s="33"/>
      <c r="I324" s="33"/>
      <c r="J324" s="33"/>
      <c r="L324" s="33"/>
      <c r="M324" s="33"/>
      <c r="N324" s="33"/>
      <c r="O324" s="33"/>
    </row>
    <row r="325" spans="5:15" ht="16.5">
      <c r="E325" s="33"/>
      <c r="F325" s="34"/>
      <c r="G325" s="33"/>
      <c r="H325" s="33"/>
      <c r="I325" s="33"/>
      <c r="J325" s="33"/>
      <c r="L325" s="33"/>
      <c r="M325" s="33"/>
      <c r="N325" s="33"/>
      <c r="O325" s="33"/>
    </row>
    <row r="326" spans="5:15" ht="16.5">
      <c r="E326" s="33"/>
      <c r="F326" s="34"/>
      <c r="G326" s="33"/>
      <c r="H326" s="33"/>
      <c r="I326" s="33"/>
      <c r="J326" s="33"/>
      <c r="L326" s="33"/>
      <c r="M326" s="33"/>
      <c r="N326" s="33"/>
      <c r="O326" s="33"/>
    </row>
    <row r="327" spans="5:15" ht="16.5">
      <c r="E327" s="33"/>
      <c r="F327" s="34"/>
      <c r="G327" s="33"/>
      <c r="H327" s="33"/>
      <c r="I327" s="33"/>
      <c r="J327" s="33"/>
      <c r="L327" s="33"/>
      <c r="M327" s="33"/>
      <c r="N327" s="33"/>
      <c r="O327" s="33"/>
    </row>
    <row r="328" spans="5:15" ht="16.5">
      <c r="E328" s="33"/>
      <c r="F328" s="34"/>
      <c r="G328" s="33"/>
      <c r="H328" s="33"/>
      <c r="I328" s="33"/>
      <c r="J328" s="33"/>
      <c r="L328" s="33"/>
      <c r="M328" s="33"/>
      <c r="N328" s="33"/>
      <c r="O328" s="33"/>
    </row>
    <row r="329" spans="5:15" ht="16.5">
      <c r="E329" s="33"/>
      <c r="F329" s="34"/>
      <c r="G329" s="33"/>
      <c r="H329" s="33"/>
      <c r="I329" s="33"/>
      <c r="J329" s="33"/>
      <c r="L329" s="33"/>
      <c r="M329" s="33"/>
      <c r="N329" s="33"/>
      <c r="O329" s="33"/>
    </row>
    <row r="330" spans="5:15" ht="16.5">
      <c r="E330" s="33"/>
      <c r="F330" s="34"/>
      <c r="G330" s="33"/>
      <c r="H330" s="33"/>
      <c r="I330" s="33"/>
      <c r="J330" s="33"/>
      <c r="L330" s="33"/>
      <c r="M330" s="33"/>
      <c r="N330" s="33"/>
      <c r="O330" s="33"/>
    </row>
    <row r="331" spans="5:15" ht="16.5">
      <c r="E331" s="33"/>
      <c r="F331" s="34"/>
      <c r="G331" s="33"/>
      <c r="H331" s="33"/>
      <c r="I331" s="33"/>
      <c r="J331" s="33"/>
      <c r="L331" s="33"/>
      <c r="M331" s="33"/>
      <c r="N331" s="33"/>
      <c r="O331" s="33"/>
    </row>
    <row r="332" spans="5:15" ht="16.5">
      <c r="E332" s="33"/>
      <c r="F332" s="34"/>
      <c r="G332" s="33"/>
      <c r="H332" s="33"/>
      <c r="I332" s="33"/>
      <c r="J332" s="33"/>
      <c r="L332" s="33"/>
      <c r="M332" s="33"/>
      <c r="N332" s="33"/>
      <c r="O332" s="33"/>
    </row>
    <row r="333" spans="5:15" ht="16.5">
      <c r="E333" s="33"/>
      <c r="F333" s="34"/>
      <c r="G333" s="33"/>
      <c r="H333" s="33"/>
      <c r="I333" s="33"/>
      <c r="J333" s="33"/>
      <c r="L333" s="33"/>
      <c r="M333" s="33"/>
      <c r="N333" s="33"/>
      <c r="O333" s="33"/>
    </row>
    <row r="334" spans="5:15" ht="16.5">
      <c r="E334" s="33"/>
      <c r="F334" s="34"/>
      <c r="G334" s="33"/>
      <c r="H334" s="33"/>
      <c r="I334" s="33"/>
      <c r="J334" s="33"/>
      <c r="L334" s="33"/>
      <c r="M334" s="33"/>
      <c r="N334" s="33"/>
      <c r="O334" s="33"/>
    </row>
    <row r="335" spans="5:15" ht="16.5">
      <c r="E335" s="33"/>
      <c r="F335" s="34"/>
      <c r="G335" s="33"/>
      <c r="H335" s="33"/>
      <c r="I335" s="33"/>
      <c r="J335" s="33"/>
      <c r="L335" s="33"/>
      <c r="M335" s="33"/>
      <c r="N335" s="33"/>
      <c r="O335" s="33"/>
    </row>
    <row r="336" spans="5:15" ht="16.5">
      <c r="E336" s="33"/>
      <c r="F336" s="34"/>
      <c r="G336" s="33"/>
      <c r="H336" s="33"/>
      <c r="I336" s="33"/>
      <c r="J336" s="33"/>
      <c r="L336" s="33"/>
      <c r="M336" s="33"/>
      <c r="N336" s="33"/>
      <c r="O336" s="33"/>
    </row>
    <row r="337" spans="5:15" ht="16.5">
      <c r="E337" s="33"/>
      <c r="F337" s="34"/>
      <c r="G337" s="33"/>
      <c r="H337" s="33"/>
      <c r="I337" s="33"/>
      <c r="J337" s="33"/>
      <c r="L337" s="33"/>
      <c r="M337" s="33"/>
      <c r="N337" s="33"/>
      <c r="O337" s="33"/>
    </row>
    <row r="338" spans="5:15" ht="16.5">
      <c r="E338" s="33"/>
      <c r="F338" s="34"/>
      <c r="G338" s="33"/>
      <c r="H338" s="33"/>
      <c r="I338" s="33"/>
      <c r="J338" s="33"/>
      <c r="L338" s="33"/>
      <c r="M338" s="33"/>
      <c r="N338" s="33"/>
      <c r="O338" s="33"/>
    </row>
    <row r="339" spans="5:15" ht="16.5">
      <c r="E339" s="33"/>
      <c r="F339" s="34"/>
      <c r="G339" s="33"/>
      <c r="H339" s="33"/>
      <c r="I339" s="33"/>
      <c r="J339" s="33"/>
      <c r="L339" s="33"/>
      <c r="M339" s="33"/>
      <c r="N339" s="33"/>
      <c r="O339" s="33"/>
    </row>
    <row r="340" spans="5:15" ht="16.5">
      <c r="E340" s="33"/>
      <c r="F340" s="34"/>
      <c r="G340" s="33"/>
      <c r="H340" s="33"/>
      <c r="I340" s="33"/>
      <c r="J340" s="33"/>
      <c r="L340" s="33"/>
      <c r="M340" s="33"/>
      <c r="N340" s="33"/>
      <c r="O340" s="33"/>
    </row>
    <row r="341" spans="5:15" ht="16.5">
      <c r="E341" s="33"/>
      <c r="F341" s="34"/>
      <c r="G341" s="33"/>
      <c r="H341" s="33"/>
      <c r="I341" s="33"/>
      <c r="J341" s="33"/>
      <c r="L341" s="33"/>
      <c r="M341" s="33"/>
      <c r="N341" s="33"/>
      <c r="O341" s="33"/>
    </row>
    <row r="342" spans="5:15" ht="16.5">
      <c r="E342" s="33"/>
      <c r="F342" s="34"/>
      <c r="G342" s="33"/>
      <c r="H342" s="33"/>
      <c r="I342" s="33"/>
      <c r="J342" s="33"/>
      <c r="L342" s="33"/>
      <c r="M342" s="33"/>
      <c r="N342" s="33"/>
      <c r="O342" s="33"/>
    </row>
    <row r="343" spans="5:15" ht="16.5">
      <c r="E343" s="33"/>
      <c r="F343" s="34"/>
      <c r="G343" s="33"/>
      <c r="H343" s="33"/>
      <c r="I343" s="33"/>
      <c r="J343" s="33"/>
      <c r="L343" s="33"/>
      <c r="M343" s="33"/>
      <c r="N343" s="33"/>
      <c r="O343" s="33"/>
    </row>
    <row r="344" spans="5:15" ht="16.5">
      <c r="E344" s="33"/>
      <c r="F344" s="34"/>
      <c r="G344" s="33"/>
      <c r="H344" s="33"/>
      <c r="I344" s="33"/>
      <c r="J344" s="33"/>
      <c r="L344" s="33"/>
      <c r="M344" s="33"/>
      <c r="N344" s="33"/>
      <c r="O344" s="33"/>
    </row>
    <row r="345" spans="5:15" ht="16.5">
      <c r="E345" s="33"/>
      <c r="F345" s="34"/>
      <c r="G345" s="33"/>
      <c r="H345" s="33"/>
      <c r="I345" s="33"/>
      <c r="J345" s="33"/>
      <c r="L345" s="33"/>
      <c r="M345" s="33"/>
      <c r="N345" s="33"/>
      <c r="O345" s="33"/>
    </row>
    <row r="346" spans="5:15" ht="16.5">
      <c r="E346" s="33"/>
      <c r="F346" s="34"/>
      <c r="G346" s="33"/>
      <c r="H346" s="33"/>
      <c r="I346" s="33"/>
      <c r="J346" s="33"/>
      <c r="L346" s="33"/>
      <c r="M346" s="33"/>
      <c r="N346" s="33"/>
      <c r="O346" s="33"/>
    </row>
    <row r="347" spans="5:15" ht="16.5">
      <c r="E347" s="33"/>
      <c r="F347" s="34"/>
      <c r="G347" s="33"/>
      <c r="H347" s="33"/>
      <c r="I347" s="33"/>
      <c r="J347" s="33"/>
      <c r="L347" s="33"/>
      <c r="M347" s="33"/>
      <c r="N347" s="33"/>
      <c r="O347" s="33"/>
    </row>
    <row r="348" spans="5:15" ht="16.5">
      <c r="E348" s="33"/>
      <c r="F348" s="34"/>
      <c r="G348" s="33"/>
      <c r="H348" s="33"/>
      <c r="I348" s="33"/>
      <c r="J348" s="33"/>
      <c r="L348" s="33"/>
      <c r="M348" s="33"/>
      <c r="N348" s="33"/>
      <c r="O348" s="33"/>
    </row>
    <row r="349" spans="5:15" ht="16.5">
      <c r="E349" s="33"/>
      <c r="F349" s="34"/>
      <c r="G349" s="33"/>
      <c r="H349" s="33"/>
      <c r="I349" s="33"/>
      <c r="J349" s="33"/>
      <c r="L349" s="33"/>
      <c r="M349" s="33"/>
      <c r="N349" s="33"/>
      <c r="O349" s="33"/>
    </row>
    <row r="350" spans="5:15" ht="16.5">
      <c r="E350" s="33"/>
      <c r="F350" s="34"/>
      <c r="G350" s="33"/>
      <c r="H350" s="33"/>
      <c r="I350" s="33"/>
      <c r="J350" s="33"/>
      <c r="L350" s="33"/>
      <c r="M350" s="33"/>
      <c r="N350" s="33"/>
      <c r="O350" s="33"/>
    </row>
    <row r="351" spans="5:15" ht="16.5">
      <c r="E351" s="33"/>
      <c r="F351" s="34"/>
      <c r="G351" s="33"/>
      <c r="H351" s="33"/>
      <c r="I351" s="33"/>
      <c r="J351" s="33"/>
      <c r="L351" s="33"/>
      <c r="M351" s="33"/>
      <c r="N351" s="33"/>
      <c r="O351" s="33"/>
    </row>
    <row r="352" spans="5:15" ht="16.5">
      <c r="E352" s="33"/>
      <c r="F352" s="34"/>
      <c r="G352" s="33"/>
      <c r="H352" s="33"/>
      <c r="I352" s="33"/>
      <c r="J352" s="33"/>
      <c r="L352" s="33"/>
      <c r="M352" s="33"/>
      <c r="N352" s="33"/>
      <c r="O352" s="33"/>
    </row>
    <row r="353" spans="5:15" ht="16.5">
      <c r="E353" s="33"/>
      <c r="F353" s="34"/>
      <c r="G353" s="33"/>
      <c r="H353" s="33"/>
      <c r="I353" s="33"/>
      <c r="J353" s="33"/>
      <c r="L353" s="33"/>
      <c r="M353" s="33"/>
      <c r="N353" s="33"/>
      <c r="O353" s="33"/>
    </row>
    <row r="354" spans="5:15" ht="16.5">
      <c r="E354" s="33"/>
      <c r="F354" s="34"/>
      <c r="G354" s="33"/>
      <c r="H354" s="33"/>
      <c r="I354" s="33"/>
      <c r="J354" s="33"/>
      <c r="L354" s="33"/>
      <c r="M354" s="33"/>
      <c r="N354" s="33"/>
      <c r="O354" s="33"/>
    </row>
    <row r="355" spans="5:15" ht="16.5">
      <c r="E355" s="33"/>
      <c r="F355" s="34"/>
      <c r="G355" s="33"/>
      <c r="H355" s="33"/>
      <c r="I355" s="33"/>
      <c r="J355" s="33"/>
      <c r="L355" s="33"/>
      <c r="M355" s="33"/>
      <c r="N355" s="33"/>
      <c r="O355" s="33"/>
    </row>
    <row r="356" spans="5:15" ht="16.5">
      <c r="E356" s="33"/>
      <c r="F356" s="34"/>
      <c r="G356" s="33"/>
      <c r="H356" s="33"/>
      <c r="I356" s="33"/>
      <c r="J356" s="33"/>
      <c r="L356" s="33"/>
      <c r="M356" s="33"/>
      <c r="N356" s="33"/>
      <c r="O356" s="33"/>
    </row>
    <row r="357" spans="5:15" ht="16.5">
      <c r="E357" s="33"/>
      <c r="F357" s="34"/>
      <c r="G357" s="33"/>
      <c r="H357" s="33"/>
      <c r="I357" s="33"/>
      <c r="J357" s="33"/>
      <c r="L357" s="33"/>
      <c r="M357" s="33"/>
      <c r="N357" s="33"/>
      <c r="O357" s="33"/>
    </row>
    <row r="358" spans="5:15" ht="16.5">
      <c r="E358" s="33"/>
      <c r="F358" s="34"/>
      <c r="G358" s="33"/>
      <c r="H358" s="33"/>
      <c r="I358" s="33"/>
      <c r="J358" s="33"/>
      <c r="L358" s="33"/>
      <c r="M358" s="33"/>
      <c r="N358" s="33"/>
      <c r="O358" s="33"/>
    </row>
    <row r="359" spans="5:15" ht="16.5">
      <c r="E359" s="33"/>
      <c r="F359" s="34"/>
      <c r="G359" s="33"/>
      <c r="H359" s="33"/>
      <c r="I359" s="33"/>
      <c r="J359" s="33"/>
      <c r="L359" s="33"/>
      <c r="M359" s="33"/>
      <c r="N359" s="33"/>
      <c r="O359" s="33"/>
    </row>
    <row r="360" spans="5:15" ht="16.5">
      <c r="E360" s="33"/>
      <c r="F360" s="34"/>
      <c r="G360" s="33"/>
      <c r="H360" s="33"/>
      <c r="I360" s="33"/>
      <c r="J360" s="33"/>
      <c r="L360" s="33"/>
      <c r="M360" s="33"/>
      <c r="N360" s="33"/>
      <c r="O360" s="33"/>
    </row>
    <row r="361" spans="5:15" ht="16.5">
      <c r="E361" s="33"/>
      <c r="F361" s="34"/>
      <c r="G361" s="33"/>
      <c r="H361" s="33"/>
      <c r="I361" s="33"/>
      <c r="J361" s="33"/>
      <c r="L361" s="33"/>
      <c r="M361" s="33"/>
      <c r="N361" s="33"/>
      <c r="O361" s="33"/>
    </row>
    <row r="362" spans="5:15" ht="16.5">
      <c r="E362" s="33"/>
      <c r="F362" s="34"/>
      <c r="G362" s="33"/>
      <c r="H362" s="33"/>
      <c r="I362" s="33"/>
      <c r="J362" s="33"/>
      <c r="L362" s="33"/>
      <c r="M362" s="33"/>
      <c r="N362" s="33"/>
      <c r="O362" s="33"/>
    </row>
    <row r="363" spans="5:15" ht="16.5">
      <c r="E363" s="33"/>
      <c r="F363" s="34"/>
      <c r="G363" s="33"/>
      <c r="H363" s="33"/>
      <c r="I363" s="33"/>
      <c r="J363" s="33"/>
      <c r="L363" s="33"/>
      <c r="M363" s="33"/>
      <c r="N363" s="33"/>
      <c r="O363" s="33"/>
    </row>
    <row r="364" spans="5:15" ht="16.5">
      <c r="E364" s="33"/>
      <c r="F364" s="34"/>
      <c r="G364" s="33"/>
      <c r="H364" s="33"/>
      <c r="I364" s="33"/>
      <c r="J364" s="33"/>
      <c r="L364" s="33"/>
      <c r="M364" s="33"/>
      <c r="N364" s="33"/>
      <c r="O364" s="33"/>
    </row>
    <row r="365" spans="5:15" ht="16.5">
      <c r="E365" s="33"/>
      <c r="F365" s="34"/>
      <c r="G365" s="33"/>
      <c r="H365" s="33"/>
      <c r="I365" s="33"/>
      <c r="J365" s="33"/>
      <c r="L365" s="33"/>
      <c r="M365" s="33"/>
      <c r="N365" s="33"/>
      <c r="O365" s="33"/>
    </row>
    <row r="366" spans="5:15" ht="16.5">
      <c r="E366" s="33"/>
      <c r="F366" s="34"/>
      <c r="G366" s="33"/>
      <c r="H366" s="33"/>
      <c r="I366" s="33"/>
      <c r="J366" s="33"/>
      <c r="L366" s="33"/>
      <c r="M366" s="33"/>
      <c r="N366" s="33"/>
      <c r="O366" s="33"/>
    </row>
    <row r="367" spans="5:15" ht="16.5">
      <c r="E367" s="33"/>
      <c r="F367" s="34"/>
      <c r="G367" s="33"/>
      <c r="H367" s="33"/>
      <c r="I367" s="33"/>
      <c r="J367" s="33"/>
      <c r="L367" s="33"/>
      <c r="M367" s="33"/>
      <c r="N367" s="33"/>
      <c r="O367" s="33"/>
    </row>
    <row r="368" spans="5:15" ht="16.5">
      <c r="E368" s="33"/>
      <c r="F368" s="34"/>
      <c r="G368" s="33"/>
      <c r="H368" s="33"/>
      <c r="I368" s="33"/>
      <c r="J368" s="33"/>
      <c r="L368" s="33"/>
      <c r="M368" s="33"/>
      <c r="N368" s="33"/>
      <c r="O368" s="33"/>
    </row>
    <row r="369" spans="5:15" ht="16.5">
      <c r="E369" s="33"/>
      <c r="F369" s="34"/>
      <c r="G369" s="33"/>
      <c r="H369" s="33"/>
      <c r="I369" s="33"/>
      <c r="J369" s="33"/>
      <c r="L369" s="33"/>
      <c r="M369" s="33"/>
      <c r="N369" s="33"/>
      <c r="O369" s="33"/>
    </row>
    <row r="370" spans="5:15" ht="16.5">
      <c r="E370" s="33"/>
      <c r="F370" s="34"/>
      <c r="G370" s="33"/>
      <c r="H370" s="33"/>
      <c r="I370" s="33"/>
      <c r="J370" s="33"/>
      <c r="L370" s="33"/>
      <c r="M370" s="33"/>
      <c r="N370" s="33"/>
      <c r="O370" s="33"/>
    </row>
    <row r="371" spans="5:15" ht="16.5">
      <c r="E371" s="33"/>
      <c r="F371" s="34"/>
      <c r="G371" s="33"/>
      <c r="H371" s="33"/>
      <c r="I371" s="33"/>
      <c r="J371" s="33"/>
      <c r="L371" s="33"/>
      <c r="M371" s="33"/>
      <c r="N371" s="33"/>
      <c r="O371" s="33"/>
    </row>
    <row r="372" spans="5:15" ht="16.5">
      <c r="E372" s="33"/>
      <c r="F372" s="34"/>
      <c r="G372" s="33"/>
      <c r="H372" s="33"/>
      <c r="I372" s="33"/>
      <c r="J372" s="33"/>
      <c r="L372" s="33"/>
      <c r="M372" s="33"/>
      <c r="N372" s="33"/>
      <c r="O372" s="33"/>
    </row>
    <row r="373" spans="5:15" ht="16.5">
      <c r="E373" s="33"/>
      <c r="F373" s="34"/>
      <c r="G373" s="33"/>
      <c r="H373" s="33"/>
      <c r="I373" s="33"/>
      <c r="J373" s="33"/>
      <c r="L373" s="33"/>
      <c r="M373" s="33"/>
      <c r="N373" s="33"/>
      <c r="O373" s="33"/>
    </row>
    <row r="374" spans="5:15" ht="16.5">
      <c r="E374" s="33"/>
      <c r="F374" s="34"/>
      <c r="G374" s="33"/>
      <c r="H374" s="33"/>
      <c r="I374" s="33"/>
      <c r="J374" s="33"/>
      <c r="L374" s="33"/>
      <c r="M374" s="33"/>
      <c r="N374" s="33"/>
      <c r="O374" s="33"/>
    </row>
  </sheetData>
  <mergeCells count="34">
    <mergeCell ref="A9:C9"/>
    <mergeCell ref="A10:C10"/>
    <mergeCell ref="A5:C5"/>
    <mergeCell ref="A6:C6"/>
    <mergeCell ref="A7:C7"/>
    <mergeCell ref="A8:C8"/>
    <mergeCell ref="A22:C22"/>
    <mergeCell ref="A23:C23"/>
    <mergeCell ref="A24:C24"/>
    <mergeCell ref="H19:J20"/>
    <mergeCell ref="A29:C29"/>
    <mergeCell ref="A26:C26"/>
    <mergeCell ref="A27:C27"/>
    <mergeCell ref="A25:C25"/>
    <mergeCell ref="A13:C13"/>
    <mergeCell ref="A14:C14"/>
    <mergeCell ref="A20:C20"/>
    <mergeCell ref="A21:C21"/>
    <mergeCell ref="A15:C15"/>
    <mergeCell ref="A17:C17"/>
    <mergeCell ref="A30:C30"/>
    <mergeCell ref="P35:Q35"/>
    <mergeCell ref="A32:C32"/>
    <mergeCell ref="A33:C33"/>
    <mergeCell ref="AD38:AH38"/>
    <mergeCell ref="A34:C34"/>
    <mergeCell ref="A35:C35"/>
    <mergeCell ref="A38:E38"/>
    <mergeCell ref="T38:X38"/>
    <mergeCell ref="Y38:AC38"/>
    <mergeCell ref="F38:J38"/>
    <mergeCell ref="T37:AC37"/>
    <mergeCell ref="K38:P38"/>
    <mergeCell ref="P34:Q3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r:id="rId5"/>
  <headerFooter alignWithMargins="0">
    <oddFooter>&amp;L&amp;8MNW file &amp;F, sheet &amp;A&amp;C&amp;8&amp;P&amp;R&amp;8printed at &amp;T on &amp;D</oddFooter>
  </headerFooter>
  <drawing r:id="rId4"/>
  <legacyDrawing r:id="rId3"/>
  <oleObjects>
    <oleObject progId="Mathcad" shapeId="86863960" r:id="rId1"/>
    <oleObject progId="Equation.3" shapeId="8686396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CF374"/>
  <sheetViews>
    <sheetView workbookViewId="0" topLeftCell="R89">
      <selection activeCell="AF112" sqref="AF112"/>
    </sheetView>
  </sheetViews>
  <sheetFormatPr defaultColWidth="9.140625" defaultRowHeight="12.75"/>
  <cols>
    <col min="1" max="1" width="5.7109375" style="2" customWidth="1"/>
    <col min="2" max="2" width="7.421875" style="2" customWidth="1"/>
    <col min="3" max="3" width="6.8515625" style="11" customWidth="1"/>
    <col min="4" max="4" width="6.7109375" style="5" customWidth="1"/>
    <col min="5" max="5" width="9.28125" style="3" customWidth="1"/>
    <col min="6" max="6" width="6.57421875" style="5" customWidth="1"/>
    <col min="7" max="7" width="8.140625" style="2" customWidth="1"/>
    <col min="8" max="8" width="7.00390625" style="2" customWidth="1"/>
    <col min="9" max="9" width="6.8515625" style="2" customWidth="1"/>
    <col min="10" max="10" width="8.28125" style="2" customWidth="1"/>
    <col min="11" max="11" width="6.7109375" style="11" customWidth="1"/>
    <col min="12" max="12" width="8.57421875" style="2" customWidth="1"/>
    <col min="13" max="13" width="7.28125" style="2" customWidth="1"/>
    <col min="14" max="14" width="7.8515625" style="2" customWidth="1"/>
    <col min="15" max="15" width="7.140625" style="2" customWidth="1"/>
    <col min="16" max="16" width="6.8515625" style="4" customWidth="1"/>
    <col min="17" max="17" width="8.00390625" style="18" customWidth="1"/>
    <col min="18" max="18" width="7.57421875" style="30" customWidth="1"/>
    <col min="19" max="19" width="2.140625" style="30" customWidth="1"/>
    <col min="20" max="20" width="7.28125" style="30" customWidth="1"/>
    <col min="21" max="21" width="7.421875" style="30" customWidth="1"/>
    <col min="22" max="22" width="8.28125" style="30" customWidth="1"/>
    <col min="23" max="23" width="7.7109375" style="30" customWidth="1"/>
    <col min="24" max="27" width="8.00390625" style="30" bestFit="1" customWidth="1"/>
    <col min="28" max="28" width="7.7109375" style="30" customWidth="1"/>
    <col min="29" max="29" width="7.140625" style="0" customWidth="1"/>
    <col min="30" max="33" width="5.8515625" style="0" customWidth="1"/>
    <col min="34" max="75" width="8.7109375" style="0" customWidth="1"/>
    <col min="76" max="16384" width="8.7109375" style="2" customWidth="1"/>
  </cols>
  <sheetData>
    <row r="1" spans="1:16" ht="16.5">
      <c r="A1" s="5" t="s">
        <v>205</v>
      </c>
      <c r="C1" s="14"/>
      <c r="D1" s="1"/>
      <c r="E1" s="1"/>
      <c r="F1" s="1"/>
      <c r="G1" s="17"/>
      <c r="H1" s="5"/>
      <c r="I1" s="19"/>
      <c r="J1" s="163" t="s">
        <v>199</v>
      </c>
      <c r="K1" s="14">
        <f>E29</f>
        <v>1.9996872455732195</v>
      </c>
      <c r="L1" s="1" t="s">
        <v>200</v>
      </c>
      <c r="M1" s="164" t="s">
        <v>201</v>
      </c>
      <c r="N1" s="14">
        <f>E35</f>
        <v>4</v>
      </c>
      <c r="O1" s="1" t="s">
        <v>52</v>
      </c>
      <c r="P1" s="2"/>
    </row>
    <row r="2" spans="1:16" ht="21.75" customHeight="1">
      <c r="A2" s="5" t="s">
        <v>195</v>
      </c>
      <c r="C2" s="14"/>
      <c r="D2" s="1"/>
      <c r="E2" s="1"/>
      <c r="F2" s="1"/>
      <c r="G2" s="17"/>
      <c r="H2" s="5"/>
      <c r="I2" s="19"/>
      <c r="K2" s="123"/>
      <c r="L2" s="5"/>
      <c r="M2" s="5"/>
      <c r="P2" s="2"/>
    </row>
    <row r="3" spans="1:10" ht="16.5">
      <c r="A3" s="5" t="s">
        <v>198</v>
      </c>
      <c r="I3" s="10"/>
      <c r="J3" s="10" t="s">
        <v>111</v>
      </c>
    </row>
    <row r="4" spans="1:9" ht="15" customHeight="1">
      <c r="A4" s="5" t="s">
        <v>196</v>
      </c>
      <c r="H4" s="5"/>
      <c r="I4" s="10"/>
    </row>
    <row r="5" spans="1:10" ht="24" customHeight="1">
      <c r="A5" s="181" t="s">
        <v>0</v>
      </c>
      <c r="B5" s="182"/>
      <c r="C5" s="182"/>
      <c r="D5" s="5" t="s">
        <v>140</v>
      </c>
      <c r="E5" s="3">
        <f>0.00973/2</f>
        <v>0.004865</v>
      </c>
      <c r="F5" s="5" t="s">
        <v>7</v>
      </c>
      <c r="J5" s="10" t="s">
        <v>112</v>
      </c>
    </row>
    <row r="6" spans="1:12" ht="16.5">
      <c r="A6" s="181" t="s">
        <v>1</v>
      </c>
      <c r="B6" s="182"/>
      <c r="C6" s="182"/>
      <c r="D6" s="5" t="s">
        <v>3</v>
      </c>
      <c r="E6" s="3">
        <f>0.001166/2</f>
        <v>0.000583</v>
      </c>
      <c r="F6" s="5" t="s">
        <v>7</v>
      </c>
      <c r="H6" s="5"/>
      <c r="I6" s="10"/>
      <c r="L6" s="2" t="s">
        <v>16</v>
      </c>
    </row>
    <row r="7" spans="1:6" ht="16.5">
      <c r="A7" s="181" t="s">
        <v>2</v>
      </c>
      <c r="B7" s="182"/>
      <c r="C7" s="182"/>
      <c r="D7" s="5" t="s">
        <v>4</v>
      </c>
      <c r="E7" s="3">
        <v>0.074</v>
      </c>
      <c r="F7" s="5" t="s">
        <v>7</v>
      </c>
    </row>
    <row r="8" spans="1:10" ht="16.5" customHeight="1">
      <c r="A8" s="181" t="s">
        <v>5</v>
      </c>
      <c r="B8" s="182"/>
      <c r="C8" s="182"/>
      <c r="D8" s="5" t="s">
        <v>6</v>
      </c>
      <c r="E8" s="3">
        <v>0.0625</v>
      </c>
      <c r="F8" s="2" t="s">
        <v>8</v>
      </c>
      <c r="H8" s="48"/>
      <c r="I8" s="36"/>
      <c r="J8" s="10" t="s">
        <v>113</v>
      </c>
    </row>
    <row r="9" spans="1:9" ht="16.5">
      <c r="A9" s="181" t="s">
        <v>11</v>
      </c>
      <c r="B9" s="182"/>
      <c r="C9" s="182"/>
      <c r="D9" s="5" t="s">
        <v>12</v>
      </c>
      <c r="E9" s="3">
        <v>6.4E-05</v>
      </c>
      <c r="F9" s="2" t="s">
        <v>8</v>
      </c>
      <c r="H9" s="49"/>
      <c r="I9" s="36"/>
    </row>
    <row r="10" spans="1:8" ht="16.5">
      <c r="A10" s="181" t="s">
        <v>9</v>
      </c>
      <c r="B10" s="182"/>
      <c r="C10" s="182"/>
      <c r="D10" s="5" t="s">
        <v>10</v>
      </c>
      <c r="E10" s="18">
        <v>30</v>
      </c>
      <c r="H10" s="5" t="s">
        <v>114</v>
      </c>
    </row>
    <row r="11" spans="1:8" ht="18">
      <c r="A11" s="5" t="s">
        <v>191</v>
      </c>
      <c r="B11" s="6"/>
      <c r="C11" s="6"/>
      <c r="D11" s="5" t="s">
        <v>192</v>
      </c>
      <c r="E11" s="139">
        <v>0.324</v>
      </c>
      <c r="F11" s="5" t="s">
        <v>197</v>
      </c>
      <c r="H11" s="5"/>
    </row>
    <row r="12" spans="1:12" ht="18">
      <c r="A12" s="5" t="s">
        <v>193</v>
      </c>
      <c r="B12" s="6"/>
      <c r="C12" s="6"/>
      <c r="D12" s="5" t="s">
        <v>194</v>
      </c>
      <c r="E12" s="139">
        <v>0.2455</v>
      </c>
      <c r="H12" s="5" t="s">
        <v>135</v>
      </c>
      <c r="L12" s="8"/>
    </row>
    <row r="13" spans="1:8" ht="18">
      <c r="A13" s="181" t="s">
        <v>203</v>
      </c>
      <c r="B13" s="182"/>
      <c r="C13" s="182"/>
      <c r="D13" s="7" t="s">
        <v>204</v>
      </c>
      <c r="E13" s="3">
        <f>4*PI()*10^-7</f>
        <v>1.2566370614359173E-06</v>
      </c>
      <c r="F13" s="5" t="s">
        <v>14</v>
      </c>
      <c r="H13" s="22"/>
    </row>
    <row r="14" spans="1:8" ht="16.5">
      <c r="A14" s="181" t="s">
        <v>17</v>
      </c>
      <c r="B14" s="182"/>
      <c r="C14" s="182"/>
      <c r="D14" s="7" t="s">
        <v>58</v>
      </c>
      <c r="E14" s="4">
        <v>0.826</v>
      </c>
      <c r="H14" s="22"/>
    </row>
    <row r="15" spans="1:8" ht="16.5">
      <c r="A15" s="181" t="s">
        <v>18</v>
      </c>
      <c r="B15" s="182"/>
      <c r="C15" s="182"/>
      <c r="D15" s="7" t="s">
        <v>19</v>
      </c>
      <c r="E15" s="4">
        <v>0.872</v>
      </c>
      <c r="H15" s="5" t="s">
        <v>115</v>
      </c>
    </row>
    <row r="16" spans="1:5" ht="16.5">
      <c r="A16" s="5" t="s">
        <v>69</v>
      </c>
      <c r="B16" s="6"/>
      <c r="C16" s="6"/>
      <c r="D16" s="5" t="s">
        <v>70</v>
      </c>
      <c r="E16" s="4">
        <v>2.24</v>
      </c>
    </row>
    <row r="17" spans="1:8" ht="16.5">
      <c r="A17" s="181" t="s">
        <v>20</v>
      </c>
      <c r="B17" s="182"/>
      <c r="C17" s="182"/>
      <c r="D17" s="7" t="s">
        <v>59</v>
      </c>
      <c r="E17" s="4">
        <f>1/(1+E16)</f>
        <v>0.30864197530864196</v>
      </c>
      <c r="H17" s="5" t="s">
        <v>136</v>
      </c>
    </row>
    <row r="18" spans="1:75" ht="18.75">
      <c r="A18" s="5" t="s">
        <v>122</v>
      </c>
      <c r="B18" s="36"/>
      <c r="C18" s="36"/>
      <c r="D18" s="25" t="s">
        <v>124</v>
      </c>
      <c r="E18" s="3">
        <v>1.24E-10</v>
      </c>
      <c r="F18" s="5" t="s">
        <v>13</v>
      </c>
      <c r="L18" s="47"/>
      <c r="N18" s="4"/>
      <c r="P18" s="30"/>
      <c r="Q18" s="40"/>
      <c r="AA18"/>
      <c r="AB18"/>
      <c r="BV18" s="2"/>
      <c r="BW18" s="2"/>
    </row>
    <row r="19" spans="1:75" ht="18.75">
      <c r="A19" s="5" t="s">
        <v>123</v>
      </c>
      <c r="B19" s="36"/>
      <c r="C19" s="36"/>
      <c r="D19" s="25" t="s">
        <v>125</v>
      </c>
      <c r="E19" s="3">
        <v>9E-11</v>
      </c>
      <c r="F19" s="5" t="s">
        <v>121</v>
      </c>
      <c r="H19" s="183" t="s">
        <v>92</v>
      </c>
      <c r="I19" s="184"/>
      <c r="J19" s="185"/>
      <c r="L19" s="47"/>
      <c r="N19" s="4"/>
      <c r="P19" s="30"/>
      <c r="Q19" s="40"/>
      <c r="AA19"/>
      <c r="AB19"/>
      <c r="BV19" s="2"/>
      <c r="BW19" s="2"/>
    </row>
    <row r="20" spans="1:76" ht="18.75">
      <c r="A20" s="181" t="s">
        <v>45</v>
      </c>
      <c r="B20" s="182"/>
      <c r="C20" s="182"/>
      <c r="D20" s="9" t="s">
        <v>126</v>
      </c>
      <c r="E20" s="3">
        <v>0.004</v>
      </c>
      <c r="F20" s="2" t="s">
        <v>7</v>
      </c>
      <c r="H20" s="184"/>
      <c r="I20" s="184"/>
      <c r="J20" s="185"/>
      <c r="K20" s="32"/>
      <c r="L20" s="11"/>
      <c r="M20" s="5"/>
      <c r="O20" s="103" t="s">
        <v>160</v>
      </c>
      <c r="P20" s="103" t="s">
        <v>161</v>
      </c>
      <c r="Q20" s="104" t="s">
        <v>163</v>
      </c>
      <c r="R20" s="117" t="s">
        <v>169</v>
      </c>
      <c r="AC20" s="30"/>
      <c r="BX20"/>
    </row>
    <row r="21" spans="1:76" ht="18.75">
      <c r="A21" s="181" t="s">
        <v>34</v>
      </c>
      <c r="B21" s="182"/>
      <c r="C21" s="182"/>
      <c r="D21" s="9" t="s">
        <v>127</v>
      </c>
      <c r="E21" s="3">
        <v>6.02E-06</v>
      </c>
      <c r="F21" s="5" t="s">
        <v>7</v>
      </c>
      <c r="K21" s="2"/>
      <c r="L21" s="123"/>
      <c r="O21" s="105" t="s">
        <v>159</v>
      </c>
      <c r="P21" s="105" t="s">
        <v>159</v>
      </c>
      <c r="Q21" s="106" t="s">
        <v>164</v>
      </c>
      <c r="R21" s="118" t="s">
        <v>170</v>
      </c>
      <c r="AC21" s="30"/>
      <c r="BX21"/>
    </row>
    <row r="22" spans="1:78" ht="18.75">
      <c r="A22" s="181" t="s">
        <v>137</v>
      </c>
      <c r="B22" s="182"/>
      <c r="C22" s="182"/>
      <c r="D22" s="9" t="s">
        <v>60</v>
      </c>
      <c r="E22" s="3">
        <v>35000000000</v>
      </c>
      <c r="F22" s="5" t="s">
        <v>40</v>
      </c>
      <c r="G22" s="3"/>
      <c r="H22" s="5" t="s">
        <v>43</v>
      </c>
      <c r="K22" s="2"/>
      <c r="L22" s="11"/>
      <c r="O22" s="113" t="s">
        <v>162</v>
      </c>
      <c r="P22" s="113" t="s">
        <v>162</v>
      </c>
      <c r="Q22" s="114" t="s">
        <v>85</v>
      </c>
      <c r="R22" s="119" t="s">
        <v>171</v>
      </c>
      <c r="S22" s="2"/>
      <c r="T22" s="2"/>
      <c r="AC22" s="30"/>
      <c r="AD22" s="30"/>
      <c r="AE22" s="30"/>
      <c r="BX22"/>
      <c r="BY22"/>
      <c r="BZ22"/>
    </row>
    <row r="23" spans="1:78" ht="18.75">
      <c r="A23" s="181" t="s">
        <v>137</v>
      </c>
      <c r="B23" s="182"/>
      <c r="C23" s="182"/>
      <c r="D23" s="9" t="s">
        <v>61</v>
      </c>
      <c r="E23" s="4">
        <v>0.148519435587142</v>
      </c>
      <c r="F23" s="5" t="s">
        <v>21</v>
      </c>
      <c r="H23" s="2" t="s">
        <v>44</v>
      </c>
      <c r="I23" s="2" t="s">
        <v>62</v>
      </c>
      <c r="J23" s="2" t="s">
        <v>63</v>
      </c>
      <c r="K23" s="2"/>
      <c r="L23" s="11"/>
      <c r="M23" s="108"/>
      <c r="N23" s="109" t="s">
        <v>202</v>
      </c>
      <c r="O23" s="132">
        <f>K109*4*J28</f>
        <v>0.20614100347641467</v>
      </c>
      <c r="P23" s="105"/>
      <c r="Q23" s="106">
        <f aca="true" t="shared" si="0" ref="Q23:Q30">O23*2*E$34</f>
        <v>0.20610876772072556</v>
      </c>
      <c r="R23" s="115">
        <f aca="true" t="shared" si="1" ref="R23:R28">Q23/Q$30</f>
        <v>0.004475994907087206</v>
      </c>
      <c r="S23" s="2"/>
      <c r="T23" s="2"/>
      <c r="AC23" s="30"/>
      <c r="AD23" s="30"/>
      <c r="AE23" s="30"/>
      <c r="BX23"/>
      <c r="BY23"/>
      <c r="BZ23"/>
    </row>
    <row r="24" spans="1:77" ht="18.75">
      <c r="A24" s="181" t="s">
        <v>137</v>
      </c>
      <c r="B24" s="182"/>
      <c r="C24" s="182"/>
      <c r="D24" s="9" t="s">
        <v>64</v>
      </c>
      <c r="E24" s="3">
        <v>5000000000</v>
      </c>
      <c r="F24" s="5" t="s">
        <v>40</v>
      </c>
      <c r="H24" s="2">
        <v>1</v>
      </c>
      <c r="I24" s="15">
        <v>0</v>
      </c>
      <c r="J24" s="15">
        <v>15.673373548625944</v>
      </c>
      <c r="K24" s="15"/>
      <c r="L24" s="11"/>
      <c r="M24" s="78"/>
      <c r="N24" s="110" t="s">
        <v>168</v>
      </c>
      <c r="O24" s="132">
        <f>L109*4*J28</f>
        <v>10.690973985439912</v>
      </c>
      <c r="P24" s="105"/>
      <c r="Q24" s="106">
        <f t="shared" si="0"/>
        <v>10.689302160719642</v>
      </c>
      <c r="R24" s="115">
        <f t="shared" si="1"/>
        <v>0.23213598606599323</v>
      </c>
      <c r="S24" s="2"/>
      <c r="T24" s="2"/>
      <c r="AC24" s="30"/>
      <c r="AD24" s="30"/>
      <c r="AE24" s="30"/>
      <c r="BX24"/>
      <c r="BY24"/>
    </row>
    <row r="25" spans="1:77" ht="18.75">
      <c r="A25" s="181" t="s">
        <v>137</v>
      </c>
      <c r="B25" s="182"/>
      <c r="C25" s="182"/>
      <c r="D25" s="9" t="s">
        <v>65</v>
      </c>
      <c r="E25" s="3">
        <v>-700000000</v>
      </c>
      <c r="F25" s="5" t="s">
        <v>47</v>
      </c>
      <c r="H25" s="2">
        <v>2</v>
      </c>
      <c r="I25" s="15">
        <v>17.081863443783423</v>
      </c>
      <c r="J25" s="15">
        <v>36.23820889210402</v>
      </c>
      <c r="K25" s="15"/>
      <c r="L25" s="11"/>
      <c r="M25" s="78"/>
      <c r="N25" s="111" t="s">
        <v>165</v>
      </c>
      <c r="O25" s="132">
        <f>M109*4*J28</f>
        <v>0.15584153011254445</v>
      </c>
      <c r="P25" s="107"/>
      <c r="Q25" s="106">
        <f t="shared" si="0"/>
        <v>0.15581716004833499</v>
      </c>
      <c r="R25" s="115">
        <f t="shared" si="1"/>
        <v>0.003383828948791525</v>
      </c>
      <c r="S25" s="2"/>
      <c r="T25"/>
      <c r="AC25" s="30"/>
      <c r="AD25" s="30"/>
      <c r="AE25" s="30"/>
      <c r="BX25"/>
      <c r="BY25"/>
    </row>
    <row r="26" spans="1:77" ht="18.75">
      <c r="A26" s="181" t="s">
        <v>39</v>
      </c>
      <c r="B26" s="182"/>
      <c r="C26" s="182"/>
      <c r="D26" s="9" t="s">
        <v>138</v>
      </c>
      <c r="E26" s="3">
        <v>32000000000</v>
      </c>
      <c r="F26" s="5" t="s">
        <v>40</v>
      </c>
      <c r="H26" s="2">
        <v>3</v>
      </c>
      <c r="I26" s="15">
        <v>41.284249216564326</v>
      </c>
      <c r="J26" s="15">
        <v>55.21613681534294</v>
      </c>
      <c r="K26" s="15"/>
      <c r="L26" s="11"/>
      <c r="M26" s="112"/>
      <c r="N26" s="110" t="s">
        <v>166</v>
      </c>
      <c r="O26" s="132">
        <f>N109*4*J28</f>
        <v>13.35986600082316</v>
      </c>
      <c r="P26" s="105"/>
      <c r="Q26" s="106">
        <f t="shared" si="0"/>
        <v>13.357776822206684</v>
      </c>
      <c r="R26" s="115">
        <f t="shared" si="1"/>
        <v>0.2900863543428601</v>
      </c>
      <c r="S26" s="2"/>
      <c r="T26"/>
      <c r="AC26" s="30"/>
      <c r="AD26" s="30"/>
      <c r="AE26" s="30"/>
      <c r="BX26"/>
      <c r="BY26"/>
    </row>
    <row r="27" spans="1:77" ht="18.75">
      <c r="A27" s="181" t="s">
        <v>39</v>
      </c>
      <c r="B27" s="182"/>
      <c r="C27" s="182"/>
      <c r="D27" s="9" t="s">
        <v>139</v>
      </c>
      <c r="E27" s="2">
        <v>0.5</v>
      </c>
      <c r="F27" s="5" t="s">
        <v>21</v>
      </c>
      <c r="H27" s="2">
        <v>4</v>
      </c>
      <c r="I27" s="15">
        <v>66.20526072708387</v>
      </c>
      <c r="J27" s="15">
        <v>73.17120452647318</v>
      </c>
      <c r="K27" s="15"/>
      <c r="L27" s="11"/>
      <c r="M27" s="129"/>
      <c r="N27" s="50" t="s">
        <v>167</v>
      </c>
      <c r="O27" s="133">
        <f>O109*4*J28</f>
        <v>21.47087908232772</v>
      </c>
      <c r="P27" s="130"/>
      <c r="Q27" s="104">
        <f t="shared" si="0"/>
        <v>21.467521526087786</v>
      </c>
      <c r="R27" s="131">
        <f t="shared" si="1"/>
        <v>0.46620295721117727</v>
      </c>
      <c r="S27" s="12"/>
      <c r="T27"/>
      <c r="AC27" s="30"/>
      <c r="AD27" s="30"/>
      <c r="AE27" s="30"/>
      <c r="BX27"/>
      <c r="BY27"/>
    </row>
    <row r="28" spans="1:76" ht="16.5">
      <c r="A28" s="5" t="s">
        <v>93</v>
      </c>
      <c r="B28" s="6"/>
      <c r="C28" s="6"/>
      <c r="D28" s="5" t="s">
        <v>87</v>
      </c>
      <c r="E28" s="18">
        <v>3160</v>
      </c>
      <c r="F28" s="5" t="s">
        <v>91</v>
      </c>
      <c r="I28" s="10" t="s">
        <v>50</v>
      </c>
      <c r="J28" s="15">
        <f>245*2.54*12/100/32/2</f>
        <v>1.1668124999999998</v>
      </c>
      <c r="K28" s="123" t="s">
        <v>49</v>
      </c>
      <c r="L28" s="123"/>
      <c r="M28" s="112"/>
      <c r="N28" s="110" t="s">
        <v>177</v>
      </c>
      <c r="O28" s="132">
        <f>P109*4*J28</f>
        <v>0.17108794863382423</v>
      </c>
      <c r="P28" s="125"/>
      <c r="Q28" s="106">
        <f t="shared" si="0"/>
        <v>0.1710611943771722</v>
      </c>
      <c r="R28" s="115">
        <f t="shared" si="1"/>
        <v>0.003714878524090484</v>
      </c>
      <c r="S28" s="12"/>
      <c r="T28"/>
      <c r="AC28" s="30"/>
      <c r="AD28" s="30"/>
      <c r="AE28" s="30"/>
      <c r="BX28"/>
    </row>
    <row r="29" spans="1:76" ht="16.5">
      <c r="A29" s="181" t="s">
        <v>94</v>
      </c>
      <c r="B29" s="182"/>
      <c r="C29" s="182"/>
      <c r="D29" s="5" t="s">
        <v>88</v>
      </c>
      <c r="E29" s="4">
        <f>P34*E28+P35*E28^P36</f>
        <v>1.9996872455732195</v>
      </c>
      <c r="F29" s="5" t="s">
        <v>21</v>
      </c>
      <c r="H29" s="5"/>
      <c r="I29" s="10" t="s">
        <v>54</v>
      </c>
      <c r="J29" s="3">
        <v>7.888866402398716E-06</v>
      </c>
      <c r="K29" s="123" t="s">
        <v>35</v>
      </c>
      <c r="L29" s="123"/>
      <c r="M29" s="126"/>
      <c r="N29" s="107" t="s">
        <v>178</v>
      </c>
      <c r="O29" s="132">
        <f>O27+O28</f>
        <v>21.641967030961546</v>
      </c>
      <c r="P29" s="107"/>
      <c r="Q29" s="114">
        <f t="shared" si="0"/>
        <v>21.63858272046496</v>
      </c>
      <c r="R29" s="115">
        <f>Q29/Q30</f>
        <v>0.4699178357352678</v>
      </c>
      <c r="S29" s="12"/>
      <c r="T29"/>
      <c r="AC29" s="30"/>
      <c r="AD29" s="30"/>
      <c r="AE29" s="30"/>
      <c r="BX29"/>
    </row>
    <row r="30" spans="1:76" ht="16.5">
      <c r="A30" s="181" t="s">
        <v>22</v>
      </c>
      <c r="B30" s="182"/>
      <c r="C30" s="182"/>
      <c r="D30" s="5" t="s">
        <v>48</v>
      </c>
      <c r="E30" s="13">
        <v>2.1215</v>
      </c>
      <c r="F30" s="5" t="s">
        <v>21</v>
      </c>
      <c r="H30" s="10"/>
      <c r="I30" s="10" t="s">
        <v>55</v>
      </c>
      <c r="K30" s="123" t="s">
        <v>15</v>
      </c>
      <c r="L30" s="123"/>
      <c r="M30" s="127"/>
      <c r="N30" s="128" t="s">
        <v>179</v>
      </c>
      <c r="O30" s="134">
        <f>SUM(O23:O26)+O29</f>
        <v>46.05478955081358</v>
      </c>
      <c r="P30" s="128"/>
      <c r="Q30" s="135">
        <f t="shared" si="0"/>
        <v>46.047587631160354</v>
      </c>
      <c r="R30" s="136">
        <f>SUM(R23:R26)+R29</f>
        <v>0.9999999999999999</v>
      </c>
      <c r="S30" s="4"/>
      <c r="T30"/>
      <c r="AC30" s="30"/>
      <c r="AD30" s="30"/>
      <c r="AE30" s="30"/>
      <c r="BX30"/>
    </row>
    <row r="31" spans="1:76" ht="16.5">
      <c r="A31" s="5" t="s">
        <v>95</v>
      </c>
      <c r="B31" s="6"/>
      <c r="C31" s="6"/>
      <c r="D31" s="5" t="s">
        <v>89</v>
      </c>
      <c r="E31" s="18">
        <v>1</v>
      </c>
      <c r="F31" s="5" t="s">
        <v>91</v>
      </c>
      <c r="H31" s="10"/>
      <c r="I31" s="10" t="s">
        <v>67</v>
      </c>
      <c r="J31" s="15"/>
      <c r="L31" s="15"/>
      <c r="M31" s="5"/>
      <c r="O31" s="10"/>
      <c r="P31" s="16"/>
      <c r="R31" s="4"/>
      <c r="S31"/>
      <c r="AC31" s="30"/>
      <c r="AD31" s="30"/>
      <c r="BX31"/>
    </row>
    <row r="32" spans="1:76" ht="16.5">
      <c r="A32" s="181" t="s">
        <v>96</v>
      </c>
      <c r="B32" s="182"/>
      <c r="C32" s="182"/>
      <c r="D32" s="5" t="s">
        <v>84</v>
      </c>
      <c r="E32" s="15">
        <v>0</v>
      </c>
      <c r="F32" s="5" t="s">
        <v>21</v>
      </c>
      <c r="I32" s="10"/>
      <c r="J32" s="27"/>
      <c r="K32" s="38"/>
      <c r="L32" s="27"/>
      <c r="M32" s="5"/>
      <c r="O32" s="10"/>
      <c r="P32" s="16"/>
      <c r="R32" s="2"/>
      <c r="S32" s="4"/>
      <c r="AC32" s="30"/>
      <c r="AD32" s="30"/>
      <c r="BX32"/>
    </row>
    <row r="33" spans="1:83" ht="18">
      <c r="A33" s="181" t="s">
        <v>66</v>
      </c>
      <c r="B33" s="182"/>
      <c r="C33" s="182"/>
      <c r="D33" s="5" t="s">
        <v>146</v>
      </c>
      <c r="E33" s="15">
        <f>E32/E29</f>
        <v>0</v>
      </c>
      <c r="H33" s="5" t="s">
        <v>129</v>
      </c>
      <c r="I33" s="6"/>
      <c r="J33" s="20"/>
      <c r="K33" s="5" t="s">
        <v>132</v>
      </c>
      <c r="L33" s="15">
        <v>1</v>
      </c>
      <c r="M33" s="5"/>
      <c r="O33" s="10" t="s">
        <v>172</v>
      </c>
      <c r="P33" s="10"/>
      <c r="Q33" s="27"/>
      <c r="R33" s="38"/>
      <c r="S33" s="27"/>
      <c r="T33" s="5"/>
      <c r="U33" s="2"/>
      <c r="V33" s="10"/>
      <c r="W33" s="16"/>
      <c r="X33" s="18"/>
      <c r="Y33" s="3"/>
      <c r="Z33"/>
      <c r="AC33" s="30"/>
      <c r="AD33" s="30"/>
      <c r="AE33" s="30"/>
      <c r="AF33" s="30"/>
      <c r="AG33" s="30"/>
      <c r="AH33" s="30"/>
      <c r="AI33" s="30"/>
      <c r="AJ33" s="30"/>
      <c r="AK33" s="30"/>
      <c r="BX33"/>
      <c r="BY33"/>
      <c r="BZ33"/>
      <c r="CA33"/>
      <c r="CB33"/>
      <c r="CC33"/>
      <c r="CD33"/>
      <c r="CE33"/>
    </row>
    <row r="34" spans="1:84" ht="18">
      <c r="A34" s="181" t="s">
        <v>23</v>
      </c>
      <c r="B34" s="182"/>
      <c r="C34" s="182"/>
      <c r="D34" s="5" t="s">
        <v>56</v>
      </c>
      <c r="E34" s="4">
        <f>(E29-E32)/E35</f>
        <v>0.4999218113933049</v>
      </c>
      <c r="F34" s="5" t="s">
        <v>15</v>
      </c>
      <c r="H34" s="5" t="s">
        <v>128</v>
      </c>
      <c r="I34" s="6"/>
      <c r="J34" s="20"/>
      <c r="K34" s="5" t="s">
        <v>133</v>
      </c>
      <c r="L34" s="15">
        <v>2</v>
      </c>
      <c r="M34" s="5"/>
      <c r="O34" s="10" t="s">
        <v>188</v>
      </c>
      <c r="P34" s="202">
        <v>0.0009023255298815842</v>
      </c>
      <c r="Q34" s="203"/>
      <c r="R34" s="38"/>
      <c r="S34" s="27"/>
      <c r="T34" s="5"/>
      <c r="U34" s="2"/>
      <c r="V34" s="10"/>
      <c r="W34" s="29"/>
      <c r="X34" s="18"/>
      <c r="Y34" s="3"/>
      <c r="Z34"/>
      <c r="AC34" s="30"/>
      <c r="AD34" s="30"/>
      <c r="AE34" s="30"/>
      <c r="AF34" s="30"/>
      <c r="AG34" s="30"/>
      <c r="AH34" s="30"/>
      <c r="AI34" s="30"/>
      <c r="AJ34" s="30"/>
      <c r="AK34" s="30"/>
      <c r="BX34"/>
      <c r="BY34"/>
      <c r="BZ34"/>
      <c r="CA34"/>
      <c r="CB34"/>
      <c r="CC34"/>
      <c r="CD34"/>
      <c r="CE34"/>
      <c r="CF34"/>
    </row>
    <row r="35" spans="1:82" ht="18">
      <c r="A35" s="181" t="s">
        <v>51</v>
      </c>
      <c r="B35" s="182"/>
      <c r="C35" s="182"/>
      <c r="D35" s="5" t="s">
        <v>53</v>
      </c>
      <c r="E35" s="15">
        <v>4</v>
      </c>
      <c r="F35" s="5" t="s">
        <v>52</v>
      </c>
      <c r="H35" s="5" t="s">
        <v>130</v>
      </c>
      <c r="I35" s="6"/>
      <c r="J35" s="20"/>
      <c r="K35" s="5" t="s">
        <v>134</v>
      </c>
      <c r="L35" s="15">
        <v>1</v>
      </c>
      <c r="M35" s="5"/>
      <c r="O35" s="10" t="s">
        <v>189</v>
      </c>
      <c r="P35" s="186">
        <v>-5.378266220120102E-05</v>
      </c>
      <c r="Q35" s="187"/>
      <c r="R35" s="38"/>
      <c r="S35" s="5"/>
      <c r="T35" s="2"/>
      <c r="U35" s="10"/>
      <c r="V35" s="29"/>
      <c r="W35" s="16"/>
      <c r="X35" s="18"/>
      <c r="Y35"/>
      <c r="AC35" s="30"/>
      <c r="AD35" s="30"/>
      <c r="AE35" s="30"/>
      <c r="AF35" s="30"/>
      <c r="AG35" s="30"/>
      <c r="AH35" s="30"/>
      <c r="AI35" s="30"/>
      <c r="AJ35" s="30"/>
      <c r="BX35"/>
      <c r="BY35"/>
      <c r="BZ35"/>
      <c r="CA35"/>
      <c r="CB35"/>
      <c r="CC35"/>
      <c r="CD35"/>
    </row>
    <row r="36" spans="3:81" ht="16.5">
      <c r="C36" s="2"/>
      <c r="D36" s="2"/>
      <c r="E36" s="2"/>
      <c r="F36" s="2"/>
      <c r="H36" s="5" t="s">
        <v>131</v>
      </c>
      <c r="I36" s="6"/>
      <c r="J36" s="20"/>
      <c r="K36" s="5" t="s">
        <v>68</v>
      </c>
      <c r="L36" s="15">
        <v>1</v>
      </c>
      <c r="M36" s="5"/>
      <c r="O36" s="10" t="s">
        <v>90</v>
      </c>
      <c r="P36" s="27">
        <v>1.2000000525728414</v>
      </c>
      <c r="Q36" s="10"/>
      <c r="R36" s="38"/>
      <c r="S36" s="5"/>
      <c r="T36" s="2"/>
      <c r="U36" s="10"/>
      <c r="V36" s="29"/>
      <c r="W36" s="16"/>
      <c r="X36" s="18"/>
      <c r="Y36"/>
      <c r="AC36" s="30"/>
      <c r="AD36" s="30"/>
      <c r="AE36" s="30"/>
      <c r="AF36" s="30"/>
      <c r="AG36" s="30"/>
      <c r="AH36" s="30"/>
      <c r="AI36" s="30"/>
      <c r="AJ36" s="30"/>
      <c r="BX36"/>
      <c r="BY36"/>
      <c r="BZ36"/>
      <c r="CA36"/>
      <c r="CB36"/>
      <c r="CC36"/>
    </row>
    <row r="37" spans="16:77" ht="15.75" customHeight="1">
      <c r="P37" s="2"/>
      <c r="Q37" s="120" t="s">
        <v>144</v>
      </c>
      <c r="R37" s="56" t="s">
        <v>157</v>
      </c>
      <c r="S37" s="4"/>
      <c r="T37" s="194" t="s">
        <v>71</v>
      </c>
      <c r="U37" s="201"/>
      <c r="V37" s="201"/>
      <c r="W37" s="201"/>
      <c r="X37" s="201"/>
      <c r="Y37" s="201"/>
      <c r="Z37" s="201"/>
      <c r="AA37" s="201"/>
      <c r="AB37" s="201"/>
      <c r="AC37" s="190"/>
      <c r="AD37" s="30"/>
      <c r="BX37"/>
      <c r="BY37"/>
    </row>
    <row r="38" spans="1:77" ht="18">
      <c r="A38" s="191" t="s">
        <v>46</v>
      </c>
      <c r="B38" s="192"/>
      <c r="C38" s="192"/>
      <c r="D38" s="192"/>
      <c r="E38" s="193"/>
      <c r="F38" s="198" t="s">
        <v>141</v>
      </c>
      <c r="G38" s="199"/>
      <c r="H38" s="199"/>
      <c r="I38" s="199"/>
      <c r="J38" s="200"/>
      <c r="K38" s="191" t="s">
        <v>143</v>
      </c>
      <c r="L38" s="192"/>
      <c r="M38" s="192"/>
      <c r="N38" s="192"/>
      <c r="O38" s="192"/>
      <c r="P38" s="200"/>
      <c r="Q38" s="121" t="s">
        <v>176</v>
      </c>
      <c r="R38" s="57" t="s">
        <v>173</v>
      </c>
      <c r="S38" s="4"/>
      <c r="T38" s="194" t="s">
        <v>72</v>
      </c>
      <c r="U38" s="195"/>
      <c r="V38" s="195"/>
      <c r="W38" s="195"/>
      <c r="X38" s="196"/>
      <c r="Y38" s="194" t="s">
        <v>73</v>
      </c>
      <c r="Z38" s="195"/>
      <c r="AA38" s="195"/>
      <c r="AB38" s="195"/>
      <c r="AC38" s="197"/>
      <c r="AD38" s="188" t="s">
        <v>142</v>
      </c>
      <c r="AE38" s="189"/>
      <c r="AF38" s="189"/>
      <c r="AG38" s="189"/>
      <c r="AH38" s="190"/>
      <c r="BX38"/>
      <c r="BY38"/>
    </row>
    <row r="39" spans="1:76" ht="16.5">
      <c r="A39" s="51" t="s">
        <v>24</v>
      </c>
      <c r="B39" s="52" t="s">
        <v>25</v>
      </c>
      <c r="C39" s="53" t="s">
        <v>26</v>
      </c>
      <c r="D39" s="54" t="s">
        <v>27</v>
      </c>
      <c r="E39" s="55" t="s">
        <v>29</v>
      </c>
      <c r="F39" s="45" t="s">
        <v>28</v>
      </c>
      <c r="G39" s="54" t="s">
        <v>36</v>
      </c>
      <c r="H39" s="54" t="s">
        <v>37</v>
      </c>
      <c r="I39" s="46" t="s">
        <v>38</v>
      </c>
      <c r="J39" s="55" t="s">
        <v>29</v>
      </c>
      <c r="K39" s="89" t="s">
        <v>30</v>
      </c>
      <c r="L39" s="52" t="s">
        <v>31</v>
      </c>
      <c r="M39" s="52" t="s">
        <v>32</v>
      </c>
      <c r="N39" s="52" t="s">
        <v>33</v>
      </c>
      <c r="O39" s="52" t="s">
        <v>174</v>
      </c>
      <c r="P39" s="116" t="s">
        <v>175</v>
      </c>
      <c r="Q39" s="122" t="s">
        <v>41</v>
      </c>
      <c r="R39" s="58" t="s">
        <v>42</v>
      </c>
      <c r="S39"/>
      <c r="T39" s="59" t="s">
        <v>74</v>
      </c>
      <c r="U39" s="60" t="s">
        <v>75</v>
      </c>
      <c r="V39" s="60" t="s">
        <v>76</v>
      </c>
      <c r="W39" s="60" t="s">
        <v>77</v>
      </c>
      <c r="X39" s="61" t="s">
        <v>78</v>
      </c>
      <c r="Y39" s="59" t="s">
        <v>79</v>
      </c>
      <c r="Z39" s="60" t="s">
        <v>80</v>
      </c>
      <c r="AA39" s="60" t="s">
        <v>81</v>
      </c>
      <c r="AB39" s="60" t="s">
        <v>82</v>
      </c>
      <c r="AC39" s="61" t="s">
        <v>83</v>
      </c>
      <c r="AD39" s="59" t="s">
        <v>116</v>
      </c>
      <c r="AE39" s="62" t="s">
        <v>117</v>
      </c>
      <c r="AF39" s="62" t="s">
        <v>118</v>
      </c>
      <c r="AG39" s="62" t="s">
        <v>119</v>
      </c>
      <c r="AH39" s="63" t="s">
        <v>120</v>
      </c>
      <c r="BX39"/>
    </row>
    <row r="40" spans="1:76" ht="16.5">
      <c r="A40" s="18">
        <v>0</v>
      </c>
      <c r="B40" s="4">
        <v>-0.8219977069090909</v>
      </c>
      <c r="C40" s="11">
        <v>244.26680129999903</v>
      </c>
      <c r="D40" s="4">
        <v>-7.829455454545454E-06</v>
      </c>
      <c r="E40" s="4">
        <f aca="true" t="shared" si="2" ref="E40:E56">SQRT(B40^2+D40^2)</f>
        <v>0.8219977069463784</v>
      </c>
      <c r="F40" s="82">
        <f aca="true" t="shared" si="3" ref="F40:F56">-B40*$E$29*(1-$E$33)/$E$30/$E$34</f>
        <v>1.5498424829773103</v>
      </c>
      <c r="G40" s="85">
        <f aca="true" t="shared" si="4" ref="G40:G56">C40*$E$29*(1-$E$33)/$E$30/$E$34</f>
        <v>460.5548928588244</v>
      </c>
      <c r="H40" s="87">
        <f aca="true" t="shared" si="5" ref="H40:H56">-D40*$E$29*(1-$E$33)/$E$30/$E$34</f>
        <v>1.4762112570436868E-05</v>
      </c>
      <c r="I40" s="87">
        <f aca="true" t="shared" si="6" ref="I40:I56">E40*$E$29*(1-$E$33)/$E$30/$E$34</f>
        <v>1.549842483047614</v>
      </c>
      <c r="J40" s="56">
        <f aca="true" t="shared" si="7" ref="J40:J56">E40*E$29/E$30</f>
        <v>0.7748000614994607</v>
      </c>
      <c r="K40" s="11">
        <f aca="true" t="shared" si="8" ref="K40:K56">L$33*E$14/120*F40^2/E$8*E$7*E$10*(E$10-1)*E$5/E$6</f>
        <v>142.12129908890225</v>
      </c>
      <c r="L40" s="11">
        <f aca="true" t="shared" si="9" ref="L40:L56">L$34*E$14/6*F40^2/E$9*E$7*E$5/E$6*(1+(G40*E$5/F40)^2/15)</f>
        <v>7270.288089568927</v>
      </c>
      <c r="M40" s="15">
        <f aca="true" t="shared" si="10" ref="M40:M56">L$35*E$14/8*H40^2/E$9*E$7*E$6/E$5</f>
        <v>3.1176297838509306E-09</v>
      </c>
      <c r="N40" s="11">
        <f aca="true" t="shared" si="11" ref="N40:N56">E$14*E$15*(E$12/E$11)^2*J40*(1-E$33)/E$34^2*(E$20/2/PI())^2/E$19*LN((E$18+E$19*J40)/(E$18+E$19*E$33*J40))</f>
        <v>2575.9454445180004</v>
      </c>
      <c r="O40" s="11">
        <f aca="true" t="shared" si="12" ref="O40:O56">(Y40+Z40+AA40+AB40+AC40)/5</f>
        <v>7050.615041299818</v>
      </c>
      <c r="P40" s="11">
        <f aca="true" t="shared" si="13" ref="P40:P56">(AD40+AE40+AF40+AG40+AH40)/5</f>
        <v>43.21443217566699</v>
      </c>
      <c r="Q40" s="120">
        <f aca="true" t="shared" si="14" ref="Q40:Q56">SUM(K40:P40)</f>
        <v>17082.184306654435</v>
      </c>
      <c r="R40" s="90">
        <f aca="true" t="shared" si="15" ref="R40:R55">Q40*J$29</f>
        <v>0.13475906985634878</v>
      </c>
      <c r="S40" s="28"/>
      <c r="T40" s="92">
        <f aca="true" t="shared" si="16" ref="T40:T56">SQRT(($B40-$C40*0.8*$E$5)^2+$D40^2)*$E$29/$E$30</f>
        <v>1.6708997314980683</v>
      </c>
      <c r="U40" s="93">
        <f aca="true" t="shared" si="17" ref="U40:U56">SQRT(($B40-$C40*0.4*$E$5)^2+$D40^2)*$E$29/$E$30</f>
        <v>1.2228498964953112</v>
      </c>
      <c r="V40" s="93">
        <f aca="true" t="shared" si="18" ref="V40:V56">SQRT(($B40)^2+$D40^2)*$E$29/$E$30</f>
        <v>0.7748000614994607</v>
      </c>
      <c r="W40" s="93">
        <f aca="true" t="shared" si="19" ref="W40:W56">SQRT(($B40+$C40*0.4*$E$5)^2+$D40^2)*$E$29/$E$30</f>
        <v>0.3267502265389263</v>
      </c>
      <c r="X40" s="94">
        <f aca="true" t="shared" si="20" ref="X40:X56">SQRT(($B40+$C40*0.8*$E$5)^2+$D40^2)*$E$29/$E$30</f>
        <v>0.12129960877763996</v>
      </c>
      <c r="Y40" s="165">
        <f aca="true" t="shared" si="21" ref="Y40:Y56">$L$36*$E$14*$E$15*$E$17/$E$34*2/3*$E$21/PI()*($E$22*$E$23*LN((T40+$E$23)/($E$33*T40+$E$23))+$E$24*T40*(1-$E$33)+$E$25*T40^2/2*(1-$E$33^2))</f>
        <v>11589.653615050564</v>
      </c>
      <c r="Z40" s="165">
        <f aca="true" t="shared" si="22" ref="Z40:Z56">$L$36*$E$14*$E$15*$E$17/$E$34*2/3*$E$21/PI()*($E$22*$E$23*LN((U40+$E$23)/($E$33*U40+$E$23))+$E$24*U40*(1-$E$33)+$E$25*U40^2/2*(1-$E$33^2))</f>
        <v>9739.99175812218</v>
      </c>
      <c r="AA40" s="165">
        <f aca="true" t="shared" si="23" ref="AA40:AA56">$L$36*$E$14*$E$15*$E$17/$E$34*2/3*$E$21/PI()*($E$22*$E$23*LN((V40+$E$23)/($E$33*V40+$E$23))+$E$24*V40*(1-$E$33)+$E$25*V40^2/2*(1-$E$33^2))</f>
        <v>7477.166488930688</v>
      </c>
      <c r="AB40" s="165">
        <f aca="true" t="shared" si="24" ref="AB40:AB56">$L$36*$E$14*$E$15*$E$17/$E$34*2/3*$E$21/PI()*($E$22*$E$23*LN((W40+$E$23)/($E$33*W40+$E$23))+$E$24*W40*(1-$E$33)+$E$25*W40^2/2*(1-$E$33^2))</f>
        <v>4341.636390521481</v>
      </c>
      <c r="AC40" s="165">
        <f aca="true" t="shared" si="25" ref="AC40:AC56">$L$36*$E$14*$E$15*$E$17/$E$34*2/3*$E$21/PI()*($E$22*$E$23*LN((X40+$E$23)/($E$33*X40+$E$23))+$E$24*X40*(1-$E$33)+$E$25*X40^2/2*(1-$E$33^2))</f>
        <v>2104.6269538741767</v>
      </c>
      <c r="AD40" s="69">
        <f aca="true" t="shared" si="26" ref="AD40:AD56">1/9/PI()*$E$21/$E$34*$E$28^2*T40*(3*T40+4*$E$27)/($E$26*$E$27*$E$14*$E$15*$E$17*16*$E$5^2*$E$6^2)</f>
        <v>108.8472604197946</v>
      </c>
      <c r="AE40" s="70">
        <f aca="true" t="shared" si="27" ref="AE40:AE56">1/9/PI()*$E$21/$E$34*$E$28^2*U40*(3*U40+4*$E$27)/($E$26*$E$27*$E$14*$E$15*$E$17*16*$E$5^2*$E$6^2)</f>
        <v>64.3912731486751</v>
      </c>
      <c r="AF40" s="70">
        <f aca="true" t="shared" si="28" ref="AF40:AF56">1/9/PI()*$E$21/$E$34*$E$28^2*V40*(3*V40+4*$E$27)/($E$26*$E$27*$E$14*$E$15*$E$17*16*$E$5^2*$E$6^2)</f>
        <v>31.12414477158052</v>
      </c>
      <c r="AG40" s="70">
        <f aca="true" t="shared" si="29" ref="AG40:AG56">1/9/PI()*$E$21/$E$34*$E$28^2*W40*(3*W40+4*$E$27)/($E$26*$E$27*$E$14*$E$15*$E$17*16*$E$5^2*$E$6^2)</f>
        <v>9.045875289038632</v>
      </c>
      <c r="AH40" s="71">
        <f aca="true" t="shared" si="30" ref="AH40:AH56">1/9/PI()*$E$21/$E$34*$E$28^2*X40*(3*X40+4*$E$27)/($E$26*$E$27*$E$14*$E$15*$E$17*16*$E$5^2*$E$6^2)</f>
        <v>2.6636072492461125</v>
      </c>
      <c r="AI40" s="28"/>
      <c r="BX40"/>
    </row>
    <row r="41" spans="1:76" ht="16.5">
      <c r="A41" s="18">
        <v>1</v>
      </c>
      <c r="B41" s="4">
        <v>-0.8217296287421121</v>
      </c>
      <c r="C41" s="11">
        <v>246.64712192512508</v>
      </c>
      <c r="D41" s="4">
        <v>-0.004352904612639874</v>
      </c>
      <c r="E41" s="4">
        <f t="shared" si="2"/>
        <v>0.8217411578661593</v>
      </c>
      <c r="F41" s="83">
        <f t="shared" si="3"/>
        <v>1.5493370327449671</v>
      </c>
      <c r="G41" s="86">
        <f t="shared" si="4"/>
        <v>465.0428883810984</v>
      </c>
      <c r="H41" s="88">
        <f t="shared" si="5"/>
        <v>0.00820722057532854</v>
      </c>
      <c r="I41" s="88">
        <f t="shared" si="6"/>
        <v>1.5493587704287706</v>
      </c>
      <c r="J41" s="57">
        <f t="shared" si="7"/>
        <v>0.7745582430108546</v>
      </c>
      <c r="K41" s="11">
        <f t="shared" si="8"/>
        <v>142.02861414753843</v>
      </c>
      <c r="L41" s="11">
        <f t="shared" si="9"/>
        <v>7283.5396041314525</v>
      </c>
      <c r="M41" s="15">
        <f t="shared" si="10"/>
        <v>0.0009636508912010053</v>
      </c>
      <c r="N41" s="11">
        <f t="shared" si="11"/>
        <v>2574.493096833891</v>
      </c>
      <c r="O41" s="11">
        <f t="shared" si="12"/>
        <v>7076.794167572392</v>
      </c>
      <c r="P41" s="11">
        <f t="shared" si="13"/>
        <v>43.48561709757334</v>
      </c>
      <c r="Q41" s="121">
        <f t="shared" si="14"/>
        <v>17120.342063433738</v>
      </c>
      <c r="R41" s="90">
        <f t="shared" si="15"/>
        <v>0.13506009130179591</v>
      </c>
      <c r="S41" s="28"/>
      <c r="T41" s="79">
        <f t="shared" si="16"/>
        <v>1.6793843314980186</v>
      </c>
      <c r="U41" s="80">
        <f t="shared" si="17"/>
        <v>1.226970207798941</v>
      </c>
      <c r="V41" s="80">
        <f t="shared" si="18"/>
        <v>0.7745582430108546</v>
      </c>
      <c r="W41" s="80">
        <f t="shared" si="19"/>
        <v>0.32215753266174546</v>
      </c>
      <c r="X41" s="81">
        <f t="shared" si="20"/>
        <v>0.13034915776521527</v>
      </c>
      <c r="Y41" s="165">
        <f t="shared" si="21"/>
        <v>11621.839874298596</v>
      </c>
      <c r="Z41" s="165">
        <f t="shared" si="22"/>
        <v>9758.546917752414</v>
      </c>
      <c r="AA41" s="165">
        <f t="shared" si="23"/>
        <v>7475.780645397308</v>
      </c>
      <c r="AB41" s="165">
        <f t="shared" si="24"/>
        <v>4300.509851672915</v>
      </c>
      <c r="AC41" s="165">
        <f t="shared" si="25"/>
        <v>2227.2935487407326</v>
      </c>
      <c r="AD41" s="72">
        <f t="shared" si="26"/>
        <v>109.79705794852784</v>
      </c>
      <c r="AE41" s="73">
        <f t="shared" si="27"/>
        <v>64.7491210505015</v>
      </c>
      <c r="AF41" s="73">
        <f t="shared" si="28"/>
        <v>31.109211075450183</v>
      </c>
      <c r="AG41" s="73">
        <f t="shared" si="29"/>
        <v>8.877497005127712</v>
      </c>
      <c r="AH41" s="74">
        <f t="shared" si="30"/>
        <v>2.8951984082594744</v>
      </c>
      <c r="AI41" s="28"/>
      <c r="BX41"/>
    </row>
    <row r="42" spans="1:76" ht="16.5">
      <c r="A42" s="18">
        <v>2</v>
      </c>
      <c r="B42" s="4">
        <v>-0.821585611225844</v>
      </c>
      <c r="C42" s="11">
        <v>247.8761242952973</v>
      </c>
      <c r="D42" s="4">
        <v>-0.04666387906774721</v>
      </c>
      <c r="E42" s="4">
        <f t="shared" si="2"/>
        <v>0.8229097363520455</v>
      </c>
      <c r="F42" s="83">
        <f t="shared" si="3"/>
        <v>1.5490654937088737</v>
      </c>
      <c r="G42" s="86">
        <f t="shared" si="4"/>
        <v>467.36012122610845</v>
      </c>
      <c r="H42" s="88">
        <f t="shared" si="5"/>
        <v>0.08798280286164921</v>
      </c>
      <c r="I42" s="88">
        <f t="shared" si="6"/>
        <v>1.5515620765534677</v>
      </c>
      <c r="J42" s="57">
        <f t="shared" si="7"/>
        <v>0.7756597237997671</v>
      </c>
      <c r="K42" s="11">
        <f t="shared" si="8"/>
        <v>141.9788342319041</v>
      </c>
      <c r="L42" s="11">
        <f t="shared" si="9"/>
        <v>7290.361269135477</v>
      </c>
      <c r="M42" s="15">
        <f t="shared" si="10"/>
        <v>0.11074473863799894</v>
      </c>
      <c r="N42" s="11">
        <f t="shared" si="11"/>
        <v>2581.1112134133214</v>
      </c>
      <c r="O42" s="11">
        <f t="shared" si="12"/>
        <v>7115.923176534707</v>
      </c>
      <c r="P42" s="11">
        <f t="shared" si="13"/>
        <v>43.725594397101574</v>
      </c>
      <c r="Q42" s="121">
        <f t="shared" si="14"/>
        <v>17173.21083245115</v>
      </c>
      <c r="R42" s="90">
        <f t="shared" si="15"/>
        <v>0.13547716595743356</v>
      </c>
      <c r="S42" s="28"/>
      <c r="T42" s="79">
        <f t="shared" si="16"/>
        <v>1.6843266051775563</v>
      </c>
      <c r="U42" s="80">
        <f t="shared" si="17"/>
        <v>1.2298686882567083</v>
      </c>
      <c r="V42" s="80">
        <f t="shared" si="18"/>
        <v>0.7756597237997671</v>
      </c>
      <c r="W42" s="80">
        <f t="shared" si="19"/>
        <v>0.322752479806918</v>
      </c>
      <c r="X42" s="81">
        <f t="shared" si="20"/>
        <v>0.14191708369124809</v>
      </c>
      <c r="Y42" s="165">
        <f t="shared" si="21"/>
        <v>11640.545792302928</v>
      </c>
      <c r="Z42" s="165">
        <f t="shared" si="22"/>
        <v>9771.579828121414</v>
      </c>
      <c r="AA42" s="165">
        <f t="shared" si="23"/>
        <v>7482.091321311089</v>
      </c>
      <c r="AB42" s="165">
        <f t="shared" si="24"/>
        <v>4305.853678215201</v>
      </c>
      <c r="AC42" s="165">
        <f t="shared" si="25"/>
        <v>2379.545262722904</v>
      </c>
      <c r="AD42" s="72">
        <f t="shared" si="26"/>
        <v>110.35216364673221</v>
      </c>
      <c r="AE42" s="73">
        <f t="shared" si="27"/>
        <v>65.00142021832825</v>
      </c>
      <c r="AF42" s="73">
        <f t="shared" si="28"/>
        <v>31.177260299552387</v>
      </c>
      <c r="AG42" s="73">
        <f t="shared" si="29"/>
        <v>8.899242797075816</v>
      </c>
      <c r="AH42" s="74">
        <f t="shared" si="30"/>
        <v>3.1978850238192145</v>
      </c>
      <c r="AI42" s="28"/>
      <c r="BX42"/>
    </row>
    <row r="43" spans="1:76" ht="16.5">
      <c r="A43" s="18">
        <v>3</v>
      </c>
      <c r="B43" s="4">
        <v>-0.8208176406045933</v>
      </c>
      <c r="C43" s="11">
        <v>248.61971105177216</v>
      </c>
      <c r="D43" s="4">
        <v>-0.08816510333209439</v>
      </c>
      <c r="E43" s="4">
        <f t="shared" si="2"/>
        <v>0.8255390266809015</v>
      </c>
      <c r="F43" s="83">
        <f t="shared" si="3"/>
        <v>1.5476175170484905</v>
      </c>
      <c r="G43" s="86">
        <f t="shared" si="4"/>
        <v>468.762123123775</v>
      </c>
      <c r="H43" s="88">
        <f t="shared" si="5"/>
        <v>0.16623163484722014</v>
      </c>
      <c r="I43" s="88">
        <f t="shared" si="6"/>
        <v>1.5565194940955012</v>
      </c>
      <c r="J43" s="57">
        <f t="shared" si="7"/>
        <v>0.7781380449572135</v>
      </c>
      <c r="K43" s="11">
        <f t="shared" si="8"/>
        <v>141.7135311107869</v>
      </c>
      <c r="L43" s="11">
        <f t="shared" si="9"/>
        <v>7283.950802700388</v>
      </c>
      <c r="M43" s="15">
        <f t="shared" si="10"/>
        <v>0.395325535951867</v>
      </c>
      <c r="N43" s="11">
        <f t="shared" si="11"/>
        <v>2596.0270736669318</v>
      </c>
      <c r="O43" s="11">
        <f t="shared" si="12"/>
        <v>7182.991700827597</v>
      </c>
      <c r="P43" s="11">
        <f t="shared" si="13"/>
        <v>44.02737457339343</v>
      </c>
      <c r="Q43" s="121">
        <f t="shared" si="14"/>
        <v>17249.10580841505</v>
      </c>
      <c r="R43" s="90">
        <f t="shared" si="15"/>
        <v>0.13607589128342604</v>
      </c>
      <c r="S43" s="28"/>
      <c r="T43" s="79">
        <f t="shared" si="16"/>
        <v>1.6878033143109306</v>
      </c>
      <c r="U43" s="80">
        <f t="shared" si="17"/>
        <v>1.2325267589067697</v>
      </c>
      <c r="V43" s="80">
        <f t="shared" si="18"/>
        <v>0.7781380449572135</v>
      </c>
      <c r="W43" s="80">
        <f t="shared" si="19"/>
        <v>0.32834409476155174</v>
      </c>
      <c r="X43" s="81">
        <f t="shared" si="20"/>
        <v>0.16141652358439848</v>
      </c>
      <c r="Y43" s="165">
        <f t="shared" si="21"/>
        <v>11653.686031454292</v>
      </c>
      <c r="Z43" s="165">
        <f t="shared" si="22"/>
        <v>9783.51732900714</v>
      </c>
      <c r="AA43" s="165">
        <f t="shared" si="23"/>
        <v>7496.273195868631</v>
      </c>
      <c r="AB43" s="165">
        <f t="shared" si="24"/>
        <v>4355.842433639773</v>
      </c>
      <c r="AC43" s="165">
        <f t="shared" si="25"/>
        <v>2625.6395141681505</v>
      </c>
      <c r="AD43" s="72">
        <f t="shared" si="26"/>
        <v>110.74347594452453</v>
      </c>
      <c r="AE43" s="73">
        <f t="shared" si="27"/>
        <v>65.23320443642122</v>
      </c>
      <c r="AF43" s="73">
        <f t="shared" si="28"/>
        <v>31.330617638402448</v>
      </c>
      <c r="AG43" s="73">
        <f t="shared" si="29"/>
        <v>9.104584804925345</v>
      </c>
      <c r="AH43" s="74">
        <f t="shared" si="30"/>
        <v>3.7249900426936002</v>
      </c>
      <c r="AI43" s="28"/>
      <c r="BX43"/>
    </row>
    <row r="44" spans="1:76" ht="16.5">
      <c r="A44" s="18">
        <v>4</v>
      </c>
      <c r="B44" s="4">
        <v>-0.8198187393907777</v>
      </c>
      <c r="C44" s="11">
        <v>249.01848455721432</v>
      </c>
      <c r="D44" s="4">
        <v>-0.12932473383011736</v>
      </c>
      <c r="E44" s="4">
        <f t="shared" si="2"/>
        <v>0.8299564158656251</v>
      </c>
      <c r="F44" s="83">
        <f t="shared" si="3"/>
        <v>1.54573413036206</v>
      </c>
      <c r="G44" s="86">
        <f t="shared" si="4"/>
        <v>469.5139939801354</v>
      </c>
      <c r="H44" s="88">
        <f t="shared" si="5"/>
        <v>0.24383640599597897</v>
      </c>
      <c r="I44" s="88">
        <f t="shared" si="6"/>
        <v>1.5648482976490692</v>
      </c>
      <c r="J44" s="57">
        <f t="shared" si="7"/>
        <v>0.7823017955164522</v>
      </c>
      <c r="K44" s="11">
        <f t="shared" si="8"/>
        <v>141.36882194219902</v>
      </c>
      <c r="L44" s="11">
        <f t="shared" si="9"/>
        <v>7271.43070789385</v>
      </c>
      <c r="M44" s="15">
        <f t="shared" si="10"/>
        <v>0.8505985012562295</v>
      </c>
      <c r="N44" s="11">
        <f t="shared" si="11"/>
        <v>2621.1650531822274</v>
      </c>
      <c r="O44" s="11">
        <f t="shared" si="12"/>
        <v>7270.106036018218</v>
      </c>
      <c r="P44" s="11">
        <f t="shared" si="13"/>
        <v>44.413582638342874</v>
      </c>
      <c r="Q44" s="121">
        <f t="shared" si="14"/>
        <v>17349.334800176093</v>
      </c>
      <c r="R44" s="90">
        <f t="shared" si="15"/>
        <v>0.13686658440907604</v>
      </c>
      <c r="S44" s="28"/>
      <c r="T44" s="79">
        <f t="shared" si="16"/>
        <v>1.690677796617275</v>
      </c>
      <c r="U44" s="80">
        <f t="shared" si="17"/>
        <v>1.2355399110220515</v>
      </c>
      <c r="V44" s="80">
        <f t="shared" si="18"/>
        <v>0.7823017955164522</v>
      </c>
      <c r="W44" s="80">
        <f t="shared" si="19"/>
        <v>0.3386784531001355</v>
      </c>
      <c r="X44" s="81">
        <f t="shared" si="20"/>
        <v>0.18622528750544687</v>
      </c>
      <c r="Y44" s="165">
        <f t="shared" si="21"/>
        <v>11664.53852615982</v>
      </c>
      <c r="Z44" s="165">
        <f t="shared" si="22"/>
        <v>9797.03289110632</v>
      </c>
      <c r="AA44" s="165">
        <f t="shared" si="23"/>
        <v>7520.046729536423</v>
      </c>
      <c r="AB44" s="165">
        <f t="shared" si="24"/>
        <v>4447.136621089434</v>
      </c>
      <c r="AC44" s="165">
        <f t="shared" si="25"/>
        <v>2921.7754121990924</v>
      </c>
      <c r="AD44" s="72">
        <f t="shared" si="26"/>
        <v>111.06751487447703</v>
      </c>
      <c r="AE44" s="73">
        <f t="shared" si="27"/>
        <v>65.4964280320279</v>
      </c>
      <c r="AF44" s="73">
        <f t="shared" si="28"/>
        <v>31.589039260740915</v>
      </c>
      <c r="AG44" s="73">
        <f t="shared" si="29"/>
        <v>9.488682157013141</v>
      </c>
      <c r="AH44" s="74">
        <f t="shared" si="30"/>
        <v>4.426248867455424</v>
      </c>
      <c r="AI44" s="28"/>
      <c r="BX44"/>
    </row>
    <row r="45" spans="1:76" ht="16.5">
      <c r="A45" s="18">
        <v>5</v>
      </c>
      <c r="B45" s="4">
        <v>-0.8183791186552796</v>
      </c>
      <c r="C45" s="11">
        <v>249.07833636928586</v>
      </c>
      <c r="D45" s="4">
        <v>-0.17029335958175434</v>
      </c>
      <c r="E45" s="4">
        <f t="shared" si="2"/>
        <v>0.8359092116782976</v>
      </c>
      <c r="F45" s="83">
        <f t="shared" si="3"/>
        <v>1.5430197853505152</v>
      </c>
      <c r="G45" s="86">
        <f t="shared" si="4"/>
        <v>469.62684208208503</v>
      </c>
      <c r="H45" s="88">
        <f t="shared" si="5"/>
        <v>0.32108104564082834</v>
      </c>
      <c r="I45" s="88">
        <f t="shared" si="6"/>
        <v>1.5760720465299034</v>
      </c>
      <c r="J45" s="57">
        <f t="shared" si="7"/>
        <v>0.7879127923875824</v>
      </c>
      <c r="K45" s="11">
        <f t="shared" si="8"/>
        <v>140.87276400418182</v>
      </c>
      <c r="L45" s="11">
        <f t="shared" si="9"/>
        <v>7249.602238300269</v>
      </c>
      <c r="M45" s="15">
        <f t="shared" si="10"/>
        <v>1.4748805673728378</v>
      </c>
      <c r="N45" s="11">
        <f t="shared" si="11"/>
        <v>2655.1954349227008</v>
      </c>
      <c r="O45" s="11">
        <f t="shared" si="12"/>
        <v>7369.555429048673</v>
      </c>
      <c r="P45" s="11">
        <f t="shared" si="13"/>
        <v>44.86395015748862</v>
      </c>
      <c r="Q45" s="121">
        <f t="shared" si="14"/>
        <v>17461.564697000686</v>
      </c>
      <c r="R45" s="90">
        <f t="shared" si="15"/>
        <v>0.13775195107148022</v>
      </c>
      <c r="S45" s="28"/>
      <c r="T45" s="79">
        <f t="shared" si="16"/>
        <v>1.6927677298798511</v>
      </c>
      <c r="U45" s="80">
        <f t="shared" si="17"/>
        <v>1.238708759460233</v>
      </c>
      <c r="V45" s="80">
        <f t="shared" si="18"/>
        <v>0.7879127923875824</v>
      </c>
      <c r="W45" s="80">
        <f t="shared" si="19"/>
        <v>0.35310638659764965</v>
      </c>
      <c r="X45" s="81">
        <f t="shared" si="20"/>
        <v>0.21455080122820241</v>
      </c>
      <c r="Y45" s="165">
        <f t="shared" si="21"/>
        <v>11672.42239402514</v>
      </c>
      <c r="Z45" s="165">
        <f t="shared" si="22"/>
        <v>9811.227839755518</v>
      </c>
      <c r="AA45" s="165">
        <f t="shared" si="23"/>
        <v>7551.979252332478</v>
      </c>
      <c r="AB45" s="165">
        <f t="shared" si="24"/>
        <v>4572.311944333222</v>
      </c>
      <c r="AC45" s="165">
        <f t="shared" si="25"/>
        <v>3239.8357147970087</v>
      </c>
      <c r="AD45" s="72">
        <f t="shared" si="26"/>
        <v>111.30340112635506</v>
      </c>
      <c r="AE45" s="73">
        <f t="shared" si="27"/>
        <v>65.77379890661658</v>
      </c>
      <c r="AF45" s="73">
        <f t="shared" si="28"/>
        <v>31.93881212572186</v>
      </c>
      <c r="AG45" s="73">
        <f t="shared" si="29"/>
        <v>10.034881821836132</v>
      </c>
      <c r="AH45" s="74">
        <f t="shared" si="30"/>
        <v>5.268856806913486</v>
      </c>
      <c r="AI45" s="28"/>
      <c r="BX45"/>
    </row>
    <row r="46" spans="1:76" ht="16.5">
      <c r="A46" s="18">
        <v>6</v>
      </c>
      <c r="B46" s="4">
        <v>-0.8165897522528507</v>
      </c>
      <c r="C46" s="11">
        <v>248.9262978938888</v>
      </c>
      <c r="D46" s="4">
        <v>-0.21129872517543874</v>
      </c>
      <c r="E46" s="4">
        <f t="shared" si="2"/>
        <v>0.8434844247199457</v>
      </c>
      <c r="F46" s="83">
        <f t="shared" si="3"/>
        <v>1.5396460094326667</v>
      </c>
      <c r="G46" s="86">
        <f t="shared" si="4"/>
        <v>469.3401798612091</v>
      </c>
      <c r="H46" s="88">
        <f t="shared" si="5"/>
        <v>0.3983949567295569</v>
      </c>
      <c r="I46" s="88">
        <f t="shared" si="6"/>
        <v>1.5903547956067794</v>
      </c>
      <c r="J46" s="57">
        <f t="shared" si="7"/>
        <v>0.7950530501777703</v>
      </c>
      <c r="K46" s="11">
        <f t="shared" si="8"/>
        <v>140.25740760175515</v>
      </c>
      <c r="L46" s="11">
        <f t="shared" si="9"/>
        <v>7220.844801251269</v>
      </c>
      <c r="M46" s="15">
        <f t="shared" si="10"/>
        <v>2.270676055795909</v>
      </c>
      <c r="N46" s="11">
        <f t="shared" si="11"/>
        <v>2698.756884132243</v>
      </c>
      <c r="O46" s="11">
        <f t="shared" si="12"/>
        <v>7478.093521131537</v>
      </c>
      <c r="P46" s="11">
        <f t="shared" si="13"/>
        <v>45.393511407217446</v>
      </c>
      <c r="Q46" s="121">
        <f t="shared" si="14"/>
        <v>17585.61680157982</v>
      </c>
      <c r="R46" s="90">
        <f t="shared" si="15"/>
        <v>0.1387305815514414</v>
      </c>
      <c r="S46" s="28"/>
      <c r="T46" s="79">
        <f t="shared" si="16"/>
        <v>1.6946402144176649</v>
      </c>
      <c r="U46" s="80">
        <f t="shared" si="17"/>
        <v>1.2423674839898597</v>
      </c>
      <c r="V46" s="80">
        <f t="shared" si="18"/>
        <v>0.7950530501777703</v>
      </c>
      <c r="W46" s="80">
        <f t="shared" si="19"/>
        <v>0.37108303422090505</v>
      </c>
      <c r="X46" s="81">
        <f t="shared" si="20"/>
        <v>0.24547252869546668</v>
      </c>
      <c r="Y46" s="165">
        <f t="shared" si="21"/>
        <v>11679.481272112052</v>
      </c>
      <c r="Z46" s="165">
        <f t="shared" si="22"/>
        <v>9827.593074556713</v>
      </c>
      <c r="AA46" s="165">
        <f t="shared" si="23"/>
        <v>7592.443652908021</v>
      </c>
      <c r="AB46" s="165">
        <f t="shared" si="24"/>
        <v>4724.755957342746</v>
      </c>
      <c r="AC46" s="165">
        <f t="shared" si="25"/>
        <v>3566.1936487381586</v>
      </c>
      <c r="AD46" s="72">
        <f t="shared" si="26"/>
        <v>111.51495117769281</v>
      </c>
      <c r="AE46" s="73">
        <f t="shared" si="27"/>
        <v>66.09474502253804</v>
      </c>
      <c r="AF46" s="73">
        <f t="shared" si="28"/>
        <v>32.38645185950843</v>
      </c>
      <c r="AG46" s="73">
        <f t="shared" si="29"/>
        <v>10.731659226699367</v>
      </c>
      <c r="AH46" s="74">
        <f t="shared" si="30"/>
        <v>6.239749749648588</v>
      </c>
      <c r="AI46" s="28"/>
      <c r="BX46"/>
    </row>
    <row r="47" spans="1:76" ht="16.5">
      <c r="A47" s="18">
        <v>7</v>
      </c>
      <c r="B47" s="4">
        <v>-0.814521089821648</v>
      </c>
      <c r="C47" s="11">
        <v>248.45779899296454</v>
      </c>
      <c r="D47" s="4">
        <v>-0.25243209734431343</v>
      </c>
      <c r="E47" s="4">
        <f t="shared" si="2"/>
        <v>0.8527406226596068</v>
      </c>
      <c r="F47" s="83">
        <f t="shared" si="3"/>
        <v>1.5357456324707008</v>
      </c>
      <c r="G47" s="86">
        <f t="shared" si="4"/>
        <v>468.456844672099</v>
      </c>
      <c r="H47" s="88">
        <f t="shared" si="5"/>
        <v>0.47595021889099864</v>
      </c>
      <c r="I47" s="88">
        <f t="shared" si="6"/>
        <v>1.6078069717833736</v>
      </c>
      <c r="J47" s="57">
        <f t="shared" si="7"/>
        <v>0.8037777737047284</v>
      </c>
      <c r="K47" s="11">
        <f t="shared" si="8"/>
        <v>139.54768104119415</v>
      </c>
      <c r="L47" s="11">
        <f t="shared" si="9"/>
        <v>7185.506055445277</v>
      </c>
      <c r="M47" s="15">
        <f t="shared" si="10"/>
        <v>3.240787671198781</v>
      </c>
      <c r="N47" s="11">
        <f t="shared" si="11"/>
        <v>2752.3725736732463</v>
      </c>
      <c r="O47" s="11">
        <f t="shared" si="12"/>
        <v>7592.359477969525</v>
      </c>
      <c r="P47" s="11">
        <f t="shared" si="13"/>
        <v>45.99098675356149</v>
      </c>
      <c r="Q47" s="121">
        <f t="shared" si="14"/>
        <v>17719.017562554</v>
      </c>
      <c r="R47" s="90">
        <f t="shared" si="15"/>
        <v>0.13978296233274504</v>
      </c>
      <c r="S47" s="28"/>
      <c r="T47" s="79">
        <f t="shared" si="16"/>
        <v>1.696000718800181</v>
      </c>
      <c r="U47" s="80">
        <f t="shared" si="17"/>
        <v>1.2464117094228062</v>
      </c>
      <c r="V47" s="80">
        <f t="shared" si="18"/>
        <v>0.8037777737047284</v>
      </c>
      <c r="W47" s="80">
        <f t="shared" si="19"/>
        <v>0.3923877145338193</v>
      </c>
      <c r="X47" s="81">
        <f t="shared" si="20"/>
        <v>0.2779754961004931</v>
      </c>
      <c r="Y47" s="165">
        <f t="shared" si="21"/>
        <v>11684.607304749457</v>
      </c>
      <c r="Z47" s="165">
        <f t="shared" si="22"/>
        <v>9845.652664206578</v>
      </c>
      <c r="AA47" s="165">
        <f t="shared" si="23"/>
        <v>7641.6305281846935</v>
      </c>
      <c r="AB47" s="165">
        <f t="shared" si="24"/>
        <v>4900.695284876833</v>
      </c>
      <c r="AC47" s="165">
        <f t="shared" si="25"/>
        <v>3889.211607830063</v>
      </c>
      <c r="AD47" s="72">
        <f t="shared" si="26"/>
        <v>111.6687811767154</v>
      </c>
      <c r="AE47" s="73">
        <f t="shared" si="27"/>
        <v>66.45037572438045</v>
      </c>
      <c r="AF47" s="73">
        <f t="shared" si="28"/>
        <v>32.937282914240974</v>
      </c>
      <c r="AG47" s="73">
        <f t="shared" si="29"/>
        <v>11.580753571507676</v>
      </c>
      <c r="AH47" s="74">
        <f t="shared" si="30"/>
        <v>7.317740380962956</v>
      </c>
      <c r="AI47" s="28"/>
      <c r="BX47"/>
    </row>
    <row r="48" spans="1:76" ht="16.5">
      <c r="A48" s="18">
        <v>8</v>
      </c>
      <c r="B48" s="4">
        <v>-0.811908099555227</v>
      </c>
      <c r="C48" s="11">
        <v>247.71187929577997</v>
      </c>
      <c r="D48" s="4">
        <v>-0.2939766016246563</v>
      </c>
      <c r="E48" s="4">
        <f t="shared" si="2"/>
        <v>0.863491172176162</v>
      </c>
      <c r="F48" s="83">
        <f t="shared" si="3"/>
        <v>1.5308189480183398</v>
      </c>
      <c r="G48" s="86">
        <f t="shared" si="4"/>
        <v>467.05044411176993</v>
      </c>
      <c r="H48" s="88">
        <f t="shared" si="5"/>
        <v>0.5542806535463706</v>
      </c>
      <c r="I48" s="88">
        <f t="shared" si="6"/>
        <v>1.628076685696275</v>
      </c>
      <c r="J48" s="57">
        <f t="shared" si="7"/>
        <v>0.8139110458004901</v>
      </c>
      <c r="K48" s="11">
        <f t="shared" si="8"/>
        <v>138.65377698391845</v>
      </c>
      <c r="L48" s="11">
        <f t="shared" si="9"/>
        <v>7139.8551506844</v>
      </c>
      <c r="M48" s="15">
        <f t="shared" si="10"/>
        <v>4.395284150134916</v>
      </c>
      <c r="N48" s="11">
        <f t="shared" si="11"/>
        <v>2815.176448217921</v>
      </c>
      <c r="O48" s="11">
        <f t="shared" si="12"/>
        <v>7710.733997130832</v>
      </c>
      <c r="P48" s="11">
        <f t="shared" si="13"/>
        <v>46.65117098570447</v>
      </c>
      <c r="Q48" s="121">
        <f t="shared" si="14"/>
        <v>17855.46582815291</v>
      </c>
      <c r="R48" s="90">
        <f t="shared" si="15"/>
        <v>0.14085938447089386</v>
      </c>
      <c r="S48" s="28"/>
      <c r="T48" s="79">
        <f t="shared" si="16"/>
        <v>1.6968063751413667</v>
      </c>
      <c r="U48" s="80">
        <f t="shared" si="17"/>
        <v>1.2507399122268261</v>
      </c>
      <c r="V48" s="80">
        <f t="shared" si="18"/>
        <v>0.8139110458004901</v>
      </c>
      <c r="W48" s="80">
        <f t="shared" si="19"/>
        <v>0.41647864535534157</v>
      </c>
      <c r="X48" s="81">
        <f t="shared" si="20"/>
        <v>0.3120258686713125</v>
      </c>
      <c r="Y48" s="165">
        <f t="shared" si="21"/>
        <v>11687.641707344976</v>
      </c>
      <c r="Z48" s="165">
        <f t="shared" si="22"/>
        <v>9864.94566390003</v>
      </c>
      <c r="AA48" s="165">
        <f t="shared" si="23"/>
        <v>7698.409475421503</v>
      </c>
      <c r="AB48" s="165">
        <f t="shared" si="24"/>
        <v>5093.921947104307</v>
      </c>
      <c r="AC48" s="165">
        <f t="shared" si="25"/>
        <v>4208.751191883338</v>
      </c>
      <c r="AD48" s="72">
        <f t="shared" si="26"/>
        <v>111.75992405218169</v>
      </c>
      <c r="AE48" s="73">
        <f t="shared" si="27"/>
        <v>66.83198796079401</v>
      </c>
      <c r="AF48" s="73">
        <f t="shared" si="28"/>
        <v>33.582367331039784</v>
      </c>
      <c r="AG48" s="73">
        <f t="shared" si="29"/>
        <v>12.571370334917273</v>
      </c>
      <c r="AH48" s="74">
        <f t="shared" si="30"/>
        <v>8.510205249589562</v>
      </c>
      <c r="AI48" s="28"/>
      <c r="BX48"/>
    </row>
    <row r="49" spans="1:76" ht="16.5">
      <c r="A49" s="18">
        <v>9</v>
      </c>
      <c r="B49" s="4">
        <v>-0.808983216110299</v>
      </c>
      <c r="C49" s="11">
        <v>246.684348194236</v>
      </c>
      <c r="D49" s="4">
        <v>-0.3360578703147423</v>
      </c>
      <c r="E49" s="4">
        <f t="shared" si="2"/>
        <v>0.8760072694610718</v>
      </c>
      <c r="F49" s="83">
        <f t="shared" si="3"/>
        <v>1.525304201952013</v>
      </c>
      <c r="G49" s="86">
        <f t="shared" si="4"/>
        <v>465.11307696297143</v>
      </c>
      <c r="H49" s="88">
        <f t="shared" si="5"/>
        <v>0.633623135168027</v>
      </c>
      <c r="I49" s="88">
        <f t="shared" si="6"/>
        <v>1.6516752664832839</v>
      </c>
      <c r="J49" s="57">
        <f t="shared" si="7"/>
        <v>0.8257084910538428</v>
      </c>
      <c r="K49" s="11">
        <f t="shared" si="8"/>
        <v>137.6565812397529</v>
      </c>
      <c r="L49" s="11">
        <f t="shared" si="9"/>
        <v>7087.511505648701</v>
      </c>
      <c r="M49" s="15">
        <f t="shared" si="10"/>
        <v>5.743671171443184</v>
      </c>
      <c r="N49" s="11">
        <f t="shared" si="11"/>
        <v>2889.01054407118</v>
      </c>
      <c r="O49" s="11">
        <f t="shared" si="12"/>
        <v>7832.951467376153</v>
      </c>
      <c r="P49" s="11">
        <f t="shared" si="13"/>
        <v>47.389460236337314</v>
      </c>
      <c r="Q49" s="121">
        <f t="shared" si="14"/>
        <v>18000.263229743567</v>
      </c>
      <c r="R49" s="90">
        <f t="shared" si="15"/>
        <v>0.14200167182745702</v>
      </c>
      <c r="S49" s="28"/>
      <c r="T49" s="79">
        <f t="shared" si="16"/>
        <v>1.6973211036396443</v>
      </c>
      <c r="U49" s="80">
        <f t="shared" si="17"/>
        <v>1.2556292127361064</v>
      </c>
      <c r="V49" s="80">
        <f t="shared" si="18"/>
        <v>0.8257084910538428</v>
      </c>
      <c r="W49" s="80">
        <f t="shared" si="19"/>
        <v>0.44324745439411023</v>
      </c>
      <c r="X49" s="81">
        <f t="shared" si="20"/>
        <v>0.34731268442374574</v>
      </c>
      <c r="Y49" s="165">
        <f t="shared" si="21"/>
        <v>11689.579937211518</v>
      </c>
      <c r="Z49" s="165">
        <f t="shared" si="22"/>
        <v>9886.696824435512</v>
      </c>
      <c r="AA49" s="165">
        <f t="shared" si="23"/>
        <v>7764.049747732709</v>
      </c>
      <c r="AB49" s="165">
        <f t="shared" si="24"/>
        <v>5302.0729151858695</v>
      </c>
      <c r="AC49" s="165">
        <f t="shared" si="25"/>
        <v>4522.357912315161</v>
      </c>
      <c r="AD49" s="72">
        <f t="shared" si="26"/>
        <v>111.81817357150797</v>
      </c>
      <c r="AE49" s="73">
        <f t="shared" si="27"/>
        <v>67.26432740472559</v>
      </c>
      <c r="AF49" s="73">
        <f t="shared" si="28"/>
        <v>34.34060320726939</v>
      </c>
      <c r="AG49" s="73">
        <f t="shared" si="29"/>
        <v>13.710041981209605</v>
      </c>
      <c r="AH49" s="74">
        <f t="shared" si="30"/>
        <v>9.814155016973988</v>
      </c>
      <c r="AI49" s="28"/>
      <c r="BX49"/>
    </row>
    <row r="50" spans="1:76" ht="16.5">
      <c r="A50" s="18">
        <v>10</v>
      </c>
      <c r="B50" s="4">
        <v>-0.805486638655367</v>
      </c>
      <c r="C50" s="11">
        <v>245.26913205326798</v>
      </c>
      <c r="D50" s="4">
        <v>-0.3788205015613247</v>
      </c>
      <c r="E50" s="4">
        <f t="shared" si="2"/>
        <v>0.8901200466540989</v>
      </c>
      <c r="F50" s="83">
        <f t="shared" si="3"/>
        <v>1.518711550611109</v>
      </c>
      <c r="G50" s="86">
        <f t="shared" si="4"/>
        <v>462.4447457992325</v>
      </c>
      <c r="H50" s="88">
        <f t="shared" si="5"/>
        <v>0.714250297546688</v>
      </c>
      <c r="I50" s="88">
        <f t="shared" si="6"/>
        <v>1.6782843208184755</v>
      </c>
      <c r="J50" s="57">
        <f t="shared" si="7"/>
        <v>0.8390109376965547</v>
      </c>
      <c r="K50" s="11">
        <f t="shared" si="8"/>
        <v>136.46919762961872</v>
      </c>
      <c r="L50" s="11">
        <f t="shared" si="9"/>
        <v>7023.823858084006</v>
      </c>
      <c r="M50" s="15">
        <f t="shared" si="10"/>
        <v>7.2984120043933896</v>
      </c>
      <c r="N50" s="11">
        <f t="shared" si="11"/>
        <v>2973.1808959954965</v>
      </c>
      <c r="O50" s="11">
        <f t="shared" si="12"/>
        <v>7957.384501525349</v>
      </c>
      <c r="P50" s="11">
        <f t="shared" si="13"/>
        <v>48.1870747294757</v>
      </c>
      <c r="Q50" s="121">
        <f t="shared" si="14"/>
        <v>18146.343939968338</v>
      </c>
      <c r="R50" s="90">
        <f t="shared" si="15"/>
        <v>0.14315408303438776</v>
      </c>
      <c r="S50" s="28"/>
      <c r="T50" s="79">
        <f t="shared" si="16"/>
        <v>1.697004773933362</v>
      </c>
      <c r="U50" s="80">
        <f t="shared" si="17"/>
        <v>1.2607468932228425</v>
      </c>
      <c r="V50" s="80">
        <f t="shared" si="18"/>
        <v>0.8390109376965547</v>
      </c>
      <c r="W50" s="80">
        <f t="shared" si="19"/>
        <v>0.47243526240409656</v>
      </c>
      <c r="X50" s="81">
        <f t="shared" si="20"/>
        <v>0.38373154618323585</v>
      </c>
      <c r="Y50" s="165">
        <f t="shared" si="21"/>
        <v>11688.388825274991</v>
      </c>
      <c r="Z50" s="165">
        <f t="shared" si="22"/>
        <v>9909.415455601846</v>
      </c>
      <c r="AA50" s="165">
        <f t="shared" si="23"/>
        <v>7837.478454641994</v>
      </c>
      <c r="AB50" s="165">
        <f t="shared" si="24"/>
        <v>5521.8338845863345</v>
      </c>
      <c r="AC50" s="165">
        <f t="shared" si="25"/>
        <v>4829.805887521582</v>
      </c>
      <c r="AD50" s="72">
        <f t="shared" si="26"/>
        <v>111.78237420612308</v>
      </c>
      <c r="AE50" s="73">
        <f t="shared" si="27"/>
        <v>67.71828867259661</v>
      </c>
      <c r="AF50" s="73">
        <f t="shared" si="28"/>
        <v>35.20487210678653</v>
      </c>
      <c r="AG50" s="73">
        <f t="shared" si="29"/>
        <v>14.99712636432125</v>
      </c>
      <c r="AH50" s="74">
        <f t="shared" si="30"/>
        <v>11.23271229755101</v>
      </c>
      <c r="AI50" s="28"/>
      <c r="BX50"/>
    </row>
    <row r="51" spans="1:76" ht="16.5">
      <c r="A51" s="18">
        <v>11</v>
      </c>
      <c r="B51" s="4">
        <v>-0.8015244467186982</v>
      </c>
      <c r="C51" s="11">
        <v>243.52097485084414</v>
      </c>
      <c r="D51" s="4">
        <v>-0.42258181905155917</v>
      </c>
      <c r="E51" s="4">
        <f t="shared" si="2"/>
        <v>0.9060997916789518</v>
      </c>
      <c r="F51" s="83">
        <f t="shared" si="3"/>
        <v>1.511241002533487</v>
      </c>
      <c r="G51" s="86">
        <f t="shared" si="4"/>
        <v>459.1486681137763</v>
      </c>
      <c r="H51" s="88">
        <f t="shared" si="5"/>
        <v>0.7967604412944788</v>
      </c>
      <c r="I51" s="88">
        <f t="shared" si="6"/>
        <v>1.7084134653385845</v>
      </c>
      <c r="J51" s="57">
        <f t="shared" si="7"/>
        <v>0.8540731542007782</v>
      </c>
      <c r="K51" s="11">
        <f t="shared" si="8"/>
        <v>135.12991468272892</v>
      </c>
      <c r="L51" s="11">
        <f t="shared" si="9"/>
        <v>6950.957667471869</v>
      </c>
      <c r="M51" s="15">
        <f t="shared" si="10"/>
        <v>9.082032322099076</v>
      </c>
      <c r="N51" s="11">
        <f t="shared" si="11"/>
        <v>3069.6499436086137</v>
      </c>
      <c r="O51" s="11">
        <f t="shared" si="12"/>
        <v>8085.126639795155</v>
      </c>
      <c r="P51" s="11">
        <f t="shared" si="13"/>
        <v>49.06971156311406</v>
      </c>
      <c r="Q51" s="121">
        <f t="shared" si="14"/>
        <v>18299.01590944358</v>
      </c>
      <c r="R51" s="90">
        <f t="shared" si="15"/>
        <v>0.14435849180496904</v>
      </c>
      <c r="S51" s="28"/>
      <c r="T51" s="79">
        <f t="shared" si="16"/>
        <v>1.6962947866623614</v>
      </c>
      <c r="U51" s="80">
        <f t="shared" si="17"/>
        <v>1.266453257891286</v>
      </c>
      <c r="V51" s="80">
        <f t="shared" si="18"/>
        <v>0.8540731542007782</v>
      </c>
      <c r="W51" s="80">
        <f t="shared" si="19"/>
        <v>0.5040112083743256</v>
      </c>
      <c r="X51" s="81">
        <f t="shared" si="20"/>
        <v>0.42150076007629744</v>
      </c>
      <c r="Y51" s="165">
        <f t="shared" si="21"/>
        <v>11685.714969289897</v>
      </c>
      <c r="Z51" s="165">
        <f t="shared" si="22"/>
        <v>9934.68921247857</v>
      </c>
      <c r="AA51" s="165">
        <f t="shared" si="23"/>
        <v>7919.8899090422765</v>
      </c>
      <c r="AB51" s="165">
        <f t="shared" si="24"/>
        <v>5751.857240150315</v>
      </c>
      <c r="AC51" s="165">
        <f t="shared" si="25"/>
        <v>5133.481868014711</v>
      </c>
      <c r="AD51" s="72">
        <f t="shared" si="26"/>
        <v>111.70204450683464</v>
      </c>
      <c r="AE51" s="73">
        <f t="shared" si="27"/>
        <v>68.2261901570464</v>
      </c>
      <c r="AF51" s="73">
        <f t="shared" si="28"/>
        <v>36.1953805410805</v>
      </c>
      <c r="AG51" s="73">
        <f t="shared" si="29"/>
        <v>16.442988871204633</v>
      </c>
      <c r="AH51" s="74">
        <f t="shared" si="30"/>
        <v>12.781953739404125</v>
      </c>
      <c r="AI51" s="28"/>
      <c r="BX51"/>
    </row>
    <row r="52" spans="1:76" ht="16.5">
      <c r="A52" s="18">
        <v>12</v>
      </c>
      <c r="B52" s="4">
        <v>-0.7970047609221869</v>
      </c>
      <c r="C52" s="11">
        <v>241.13815804634072</v>
      </c>
      <c r="D52" s="4">
        <v>-0.4676103714250752</v>
      </c>
      <c r="E52" s="4">
        <f t="shared" si="2"/>
        <v>0.924054137156979</v>
      </c>
      <c r="F52" s="83">
        <f t="shared" si="3"/>
        <v>1.5027193229737204</v>
      </c>
      <c r="G52" s="86">
        <f t="shared" si="4"/>
        <v>454.6559661491222</v>
      </c>
      <c r="H52" s="88">
        <f t="shared" si="5"/>
        <v>0.8816599037003539</v>
      </c>
      <c r="I52" s="88">
        <f t="shared" si="6"/>
        <v>1.7422656368738703</v>
      </c>
      <c r="J52" s="57">
        <f t="shared" si="7"/>
        <v>0.8709965931142952</v>
      </c>
      <c r="K52" s="11">
        <f t="shared" si="8"/>
        <v>133.61025347750822</v>
      </c>
      <c r="L52" s="11">
        <f t="shared" si="9"/>
        <v>6865.5165708679515</v>
      </c>
      <c r="M52" s="15">
        <f t="shared" si="10"/>
        <v>11.120637822533741</v>
      </c>
      <c r="N52" s="11">
        <f t="shared" si="11"/>
        <v>3179.500431965083</v>
      </c>
      <c r="O52" s="11">
        <f t="shared" si="12"/>
        <v>8215.187007457094</v>
      </c>
      <c r="P52" s="11">
        <f t="shared" si="13"/>
        <v>50.01581066860829</v>
      </c>
      <c r="Q52" s="121">
        <f t="shared" si="14"/>
        <v>18454.950712258775</v>
      </c>
      <c r="R52" s="90">
        <f t="shared" si="15"/>
        <v>0.1455886406318625</v>
      </c>
      <c r="S52" s="28"/>
      <c r="T52" s="79">
        <f t="shared" si="16"/>
        <v>1.694202569285138</v>
      </c>
      <c r="U52" s="80">
        <f t="shared" si="17"/>
        <v>1.2723362828950786</v>
      </c>
      <c r="V52" s="80">
        <f t="shared" si="18"/>
        <v>0.8709965931142952</v>
      </c>
      <c r="W52" s="80">
        <f t="shared" si="19"/>
        <v>0.5382459392403196</v>
      </c>
      <c r="X52" s="81">
        <f t="shared" si="20"/>
        <v>0.4605002654149285</v>
      </c>
      <c r="Y52" s="165">
        <f t="shared" si="21"/>
        <v>11677.831838787397</v>
      </c>
      <c r="Z52" s="165">
        <f t="shared" si="22"/>
        <v>9960.681574415985</v>
      </c>
      <c r="AA52" s="165">
        <f t="shared" si="23"/>
        <v>8011.583018618939</v>
      </c>
      <c r="AB52" s="165">
        <f t="shared" si="24"/>
        <v>5993.00009453091</v>
      </c>
      <c r="AC52" s="165">
        <f t="shared" si="25"/>
        <v>5432.83851093224</v>
      </c>
      <c r="AD52" s="72">
        <f t="shared" si="26"/>
        <v>111.46548929101411</v>
      </c>
      <c r="AE52" s="73">
        <f t="shared" si="27"/>
        <v>68.751715543107</v>
      </c>
      <c r="AF52" s="73">
        <f t="shared" si="28"/>
        <v>37.32337013078485</v>
      </c>
      <c r="AG52" s="73">
        <f t="shared" si="29"/>
        <v>18.073383656464443</v>
      </c>
      <c r="AH52" s="74">
        <f t="shared" si="30"/>
        <v>14.465094721671061</v>
      </c>
      <c r="AI52" s="28"/>
      <c r="BX52"/>
    </row>
    <row r="53" spans="1:76" ht="16.5">
      <c r="A53" s="18">
        <v>13</v>
      </c>
      <c r="B53" s="4">
        <v>-0.7918310116276626</v>
      </c>
      <c r="C53" s="11">
        <v>238.16823057209103</v>
      </c>
      <c r="D53" s="4">
        <v>-0.5142884104791888</v>
      </c>
      <c r="E53" s="4">
        <f t="shared" si="2"/>
        <v>0.9441869095303631</v>
      </c>
      <c r="F53" s="83">
        <f t="shared" si="3"/>
        <v>1.4929644338961348</v>
      </c>
      <c r="G53" s="86">
        <f t="shared" si="4"/>
        <v>449.0562914392478</v>
      </c>
      <c r="H53" s="88">
        <f t="shared" si="5"/>
        <v>0.9696694046272708</v>
      </c>
      <c r="I53" s="88">
        <f t="shared" si="6"/>
        <v>1.780225141702311</v>
      </c>
      <c r="J53" s="57">
        <f t="shared" si="7"/>
        <v>0.8899733775277221</v>
      </c>
      <c r="K53" s="11">
        <f t="shared" si="8"/>
        <v>131.881224204246</v>
      </c>
      <c r="L53" s="11">
        <f t="shared" si="9"/>
        <v>6766.671631871284</v>
      </c>
      <c r="M53" s="15">
        <f t="shared" si="10"/>
        <v>13.451629650555237</v>
      </c>
      <c r="N53" s="11">
        <f t="shared" si="11"/>
        <v>3304.4986927685263</v>
      </c>
      <c r="O53" s="11">
        <f t="shared" si="12"/>
        <v>8348.76272198002</v>
      </c>
      <c r="P53" s="11">
        <f t="shared" si="13"/>
        <v>51.050901675870556</v>
      </c>
      <c r="Q53" s="121">
        <f t="shared" si="14"/>
        <v>18616.3168021505</v>
      </c>
      <c r="R53" s="90">
        <f t="shared" si="15"/>
        <v>0.1468616361568958</v>
      </c>
      <c r="S53" s="28"/>
      <c r="T53" s="79">
        <f t="shared" si="16"/>
        <v>1.6910619385799082</v>
      </c>
      <c r="U53" s="80">
        <f t="shared" si="17"/>
        <v>1.2786797396089014</v>
      </c>
      <c r="V53" s="80">
        <f t="shared" si="18"/>
        <v>0.8899733775277221</v>
      </c>
      <c r="W53" s="80">
        <f t="shared" si="19"/>
        <v>0.5751371043317225</v>
      </c>
      <c r="X53" s="81">
        <f t="shared" si="20"/>
        <v>0.5012106390523046</v>
      </c>
      <c r="Y53" s="165">
        <f t="shared" si="21"/>
        <v>11665.98804324636</v>
      </c>
      <c r="Z53" s="165">
        <f t="shared" si="22"/>
        <v>9988.63608312037</v>
      </c>
      <c r="AA53" s="165">
        <f t="shared" si="23"/>
        <v>8113.29934289505</v>
      </c>
      <c r="AB53" s="165">
        <f t="shared" si="24"/>
        <v>6244.128738272228</v>
      </c>
      <c r="AC53" s="165">
        <f t="shared" si="25"/>
        <v>5731.7614023660935</v>
      </c>
      <c r="AD53" s="72">
        <f t="shared" si="26"/>
        <v>111.11085388698763</v>
      </c>
      <c r="AE53" s="73">
        <f t="shared" si="27"/>
        <v>69.32053226148737</v>
      </c>
      <c r="AF53" s="73">
        <f t="shared" si="28"/>
        <v>38.60720587984873</v>
      </c>
      <c r="AG53" s="73">
        <f t="shared" si="29"/>
        <v>19.903411340861684</v>
      </c>
      <c r="AH53" s="74">
        <f t="shared" si="30"/>
        <v>16.3125050101674</v>
      </c>
      <c r="AI53" s="28"/>
      <c r="BX53"/>
    </row>
    <row r="54" spans="1:76" ht="16.5">
      <c r="A54" s="18">
        <v>14</v>
      </c>
      <c r="B54" s="4">
        <v>-0.7860744857851696</v>
      </c>
      <c r="C54" s="11">
        <v>234.15578260976827</v>
      </c>
      <c r="D54" s="4">
        <v>-0.5627596874814667</v>
      </c>
      <c r="E54" s="4">
        <f t="shared" si="2"/>
        <v>0.96675310346368</v>
      </c>
      <c r="F54" s="83">
        <f t="shared" si="3"/>
        <v>1.4821107438796504</v>
      </c>
      <c r="G54" s="86">
        <f t="shared" si="4"/>
        <v>441.49098771580157</v>
      </c>
      <c r="H54" s="88">
        <f t="shared" si="5"/>
        <v>1.061059981110472</v>
      </c>
      <c r="I54" s="88">
        <f t="shared" si="6"/>
        <v>1.8227727616567146</v>
      </c>
      <c r="J54" s="57">
        <f t="shared" si="7"/>
        <v>0.9112438607658015</v>
      </c>
      <c r="K54" s="11">
        <f t="shared" si="8"/>
        <v>129.97066981990164</v>
      </c>
      <c r="L54" s="11">
        <f t="shared" si="9"/>
        <v>6652.647673063909</v>
      </c>
      <c r="M54" s="15">
        <f t="shared" si="10"/>
        <v>16.106730284367647</v>
      </c>
      <c r="N54" s="11">
        <f t="shared" si="11"/>
        <v>3446.8652053751916</v>
      </c>
      <c r="O54" s="11">
        <f t="shared" si="12"/>
        <v>8484.730121705894</v>
      </c>
      <c r="P54" s="11">
        <f t="shared" si="13"/>
        <v>52.150917736615</v>
      </c>
      <c r="Q54" s="121">
        <f t="shared" si="14"/>
        <v>18782.471317985877</v>
      </c>
      <c r="R54" s="90">
        <f t="shared" si="15"/>
        <v>0.1481724069344763</v>
      </c>
      <c r="S54" s="28"/>
      <c r="T54" s="79">
        <f t="shared" si="16"/>
        <v>1.6855868922087331</v>
      </c>
      <c r="U54" s="80">
        <f t="shared" si="17"/>
        <v>1.28503345010574</v>
      </c>
      <c r="V54" s="80">
        <f t="shared" si="18"/>
        <v>0.9112438607658015</v>
      </c>
      <c r="W54" s="80">
        <f t="shared" si="19"/>
        <v>0.6151149395552014</v>
      </c>
      <c r="X54" s="81">
        <f t="shared" si="20"/>
        <v>0.5434280201945507</v>
      </c>
      <c r="Y54" s="165">
        <f t="shared" si="21"/>
        <v>11645.310834277694</v>
      </c>
      <c r="Z54" s="165">
        <f t="shared" si="22"/>
        <v>10016.56126023392</v>
      </c>
      <c r="AA54" s="165">
        <f t="shared" si="23"/>
        <v>8225.969264104662</v>
      </c>
      <c r="AB54" s="165">
        <f t="shared" si="24"/>
        <v>6507.006374686086</v>
      </c>
      <c r="AC54" s="165">
        <f t="shared" si="25"/>
        <v>6028.802875227102</v>
      </c>
      <c r="AD54" s="72">
        <f t="shared" si="26"/>
        <v>110.49393425630076</v>
      </c>
      <c r="AE54" s="73">
        <f t="shared" si="27"/>
        <v>69.89251664771743</v>
      </c>
      <c r="AF54" s="73">
        <f t="shared" si="28"/>
        <v>40.07007421695079</v>
      </c>
      <c r="AG54" s="73">
        <f t="shared" si="29"/>
        <v>21.972196174002594</v>
      </c>
      <c r="AH54" s="74">
        <f t="shared" si="30"/>
        <v>18.325867388103415</v>
      </c>
      <c r="AI54" s="28"/>
      <c r="BX54"/>
    </row>
    <row r="55" spans="1:76" ht="16.5">
      <c r="A55" s="18">
        <v>15</v>
      </c>
      <c r="B55" s="4">
        <v>-0.7797235727397585</v>
      </c>
      <c r="C55" s="11">
        <v>228.70524440167958</v>
      </c>
      <c r="D55" s="4">
        <v>-0.6155142377819834</v>
      </c>
      <c r="E55" s="4">
        <f t="shared" si="2"/>
        <v>0.9933914771118129</v>
      </c>
      <c r="F55" s="83">
        <f t="shared" si="3"/>
        <v>1.4701363615173384</v>
      </c>
      <c r="G55" s="86">
        <f t="shared" si="4"/>
        <v>431.21422465553536</v>
      </c>
      <c r="H55" s="88">
        <f t="shared" si="5"/>
        <v>1.160526491222217</v>
      </c>
      <c r="I55" s="88">
        <f t="shared" si="6"/>
        <v>1.8729983070691734</v>
      </c>
      <c r="J55" s="57">
        <f t="shared" si="7"/>
        <v>0.9363527064066146</v>
      </c>
      <c r="K55" s="11">
        <f t="shared" si="8"/>
        <v>127.87901568534073</v>
      </c>
      <c r="L55" s="11">
        <f t="shared" si="9"/>
        <v>6521.139203321941</v>
      </c>
      <c r="M55" s="15">
        <f t="shared" si="10"/>
        <v>19.26804417066761</v>
      </c>
      <c r="N55" s="11">
        <f t="shared" si="11"/>
        <v>3617.9564159551473</v>
      </c>
      <c r="O55" s="11">
        <f t="shared" si="12"/>
        <v>8630.498781382086</v>
      </c>
      <c r="P55" s="11">
        <f t="shared" si="13"/>
        <v>53.399030550102154</v>
      </c>
      <c r="Q55" s="121">
        <f t="shared" si="14"/>
        <v>18970.14049106529</v>
      </c>
      <c r="R55" s="90">
        <f t="shared" si="15"/>
        <v>0.14965290396874845</v>
      </c>
      <c r="S55" s="28"/>
      <c r="T55" s="79">
        <f t="shared" si="16"/>
        <v>1.6774878881987423</v>
      </c>
      <c r="U55" s="80">
        <f t="shared" si="17"/>
        <v>1.2920432896039649</v>
      </c>
      <c r="V55" s="80">
        <f t="shared" si="18"/>
        <v>0.9363527064066146</v>
      </c>
      <c r="W55" s="80">
        <f t="shared" si="19"/>
        <v>0.6603841312497939</v>
      </c>
      <c r="X55" s="81">
        <f t="shared" si="20"/>
        <v>0.589430481265853</v>
      </c>
      <c r="Y55" s="165">
        <f t="shared" si="21"/>
        <v>11614.653758672144</v>
      </c>
      <c r="Z55" s="165">
        <f t="shared" si="22"/>
        <v>10047.284280703047</v>
      </c>
      <c r="AA55" s="165">
        <f t="shared" si="23"/>
        <v>8357.21186253446</v>
      </c>
      <c r="AB55" s="165">
        <f t="shared" si="24"/>
        <v>6794.169409601523</v>
      </c>
      <c r="AC55" s="165">
        <f t="shared" si="25"/>
        <v>6339.17459539926</v>
      </c>
      <c r="AD55" s="72">
        <f t="shared" si="26"/>
        <v>109.58441488364619</v>
      </c>
      <c r="AE55" s="73">
        <f t="shared" si="27"/>
        <v>70.5261787360907</v>
      </c>
      <c r="AF55" s="73">
        <f t="shared" si="28"/>
        <v>41.82937724131399</v>
      </c>
      <c r="AG55" s="73">
        <f t="shared" si="29"/>
        <v>24.422343426613143</v>
      </c>
      <c r="AH55" s="74">
        <f t="shared" si="30"/>
        <v>20.632838462846777</v>
      </c>
      <c r="AI55" s="28"/>
      <c r="BX55"/>
    </row>
    <row r="56" spans="1:76" ht="16.5">
      <c r="A56" s="15">
        <v>15.673373548625944</v>
      </c>
      <c r="B56" s="4">
        <v>-0.7724384853461057</v>
      </c>
      <c r="C56" s="11">
        <v>221.49363573046517</v>
      </c>
      <c r="D56" s="4">
        <v>-0.6088285186356931</v>
      </c>
      <c r="E56" s="4">
        <f t="shared" si="2"/>
        <v>0.9835310766559023</v>
      </c>
      <c r="F56" s="83">
        <f t="shared" si="3"/>
        <v>1.4564006322811325</v>
      </c>
      <c r="G56" s="86">
        <f t="shared" si="4"/>
        <v>417.6170364939244</v>
      </c>
      <c r="H56" s="88">
        <f t="shared" si="5"/>
        <v>1.1479208458839367</v>
      </c>
      <c r="I56" s="88">
        <f t="shared" si="6"/>
        <v>1.8544069321817627</v>
      </c>
      <c r="J56" s="57">
        <f t="shared" si="7"/>
        <v>0.9270584725966082</v>
      </c>
      <c r="K56" s="11">
        <f t="shared" si="8"/>
        <v>125.50058890794901</v>
      </c>
      <c r="L56" s="11">
        <f t="shared" si="9"/>
        <v>6365.968777104288</v>
      </c>
      <c r="M56" s="15">
        <f t="shared" si="10"/>
        <v>18.851738265138053</v>
      </c>
      <c r="N56" s="11">
        <f t="shared" si="11"/>
        <v>3554.2455693630386</v>
      </c>
      <c r="O56" s="11">
        <f t="shared" si="12"/>
        <v>8561.578607708632</v>
      </c>
      <c r="P56" s="11">
        <f t="shared" si="13"/>
        <v>52.027661459220134</v>
      </c>
      <c r="Q56" s="121">
        <f t="shared" si="14"/>
        <v>18678.172942808265</v>
      </c>
      <c r="R56" s="90">
        <f>Q56*J$29*(A56-A55)</f>
        <v>0.0992213304387753</v>
      </c>
      <c r="S56" s="28"/>
      <c r="T56" s="79">
        <f t="shared" si="16"/>
        <v>1.6440515976942758</v>
      </c>
      <c r="U56" s="80">
        <f t="shared" si="17"/>
        <v>1.2712630944720047</v>
      </c>
      <c r="V56" s="80">
        <f t="shared" si="18"/>
        <v>0.9270584725966082</v>
      </c>
      <c r="W56" s="80">
        <f t="shared" si="19"/>
        <v>0.6579424933996577</v>
      </c>
      <c r="X56" s="81">
        <f t="shared" si="20"/>
        <v>0.5800539581710865</v>
      </c>
      <c r="Y56" s="165">
        <f t="shared" si="21"/>
        <v>11487.190841699174</v>
      </c>
      <c r="Z56" s="165">
        <f t="shared" si="22"/>
        <v>9955.944830622933</v>
      </c>
      <c r="AA56" s="165">
        <f t="shared" si="23"/>
        <v>8308.848987675117</v>
      </c>
      <c r="AB56" s="165">
        <f t="shared" si="24"/>
        <v>6778.94742975214</v>
      </c>
      <c r="AC56" s="165">
        <f t="shared" si="25"/>
        <v>6276.960948793801</v>
      </c>
      <c r="AD56" s="72">
        <f t="shared" si="26"/>
        <v>105.86821687111288</v>
      </c>
      <c r="AE56" s="73">
        <f t="shared" si="27"/>
        <v>68.6557047268452</v>
      </c>
      <c r="AF56" s="73">
        <f t="shared" si="28"/>
        <v>41.17406144739197</v>
      </c>
      <c r="AG56" s="73">
        <f t="shared" si="29"/>
        <v>24.28727823165975</v>
      </c>
      <c r="AH56" s="74">
        <f t="shared" si="30"/>
        <v>20.153046019090887</v>
      </c>
      <c r="AI56" s="28"/>
      <c r="BX56"/>
    </row>
    <row r="57" spans="2:76" ht="6" customHeight="1">
      <c r="B57" s="4"/>
      <c r="D57" s="4"/>
      <c r="E57" s="4"/>
      <c r="F57" s="83"/>
      <c r="G57" s="86"/>
      <c r="H57" s="88"/>
      <c r="I57" s="88"/>
      <c r="J57" s="57"/>
      <c r="L57" s="11"/>
      <c r="M57" s="15"/>
      <c r="N57" s="11"/>
      <c r="O57" s="11"/>
      <c r="P57" s="11"/>
      <c r="Q57" s="121"/>
      <c r="R57" s="90"/>
      <c r="S57" s="28"/>
      <c r="T57" s="79"/>
      <c r="U57" s="80"/>
      <c r="V57" s="80"/>
      <c r="W57" s="80"/>
      <c r="X57" s="81"/>
      <c r="Y57" s="165"/>
      <c r="Z57" s="165"/>
      <c r="AA57" s="165"/>
      <c r="AB57" s="165"/>
      <c r="AC57" s="165"/>
      <c r="AD57" s="64"/>
      <c r="AE57" s="65"/>
      <c r="AF57" s="65"/>
      <c r="AG57" s="65"/>
      <c r="AH57" s="66"/>
      <c r="AI57" s="28"/>
      <c r="BX57"/>
    </row>
    <row r="58" spans="1:76" ht="16.5">
      <c r="A58" s="15">
        <f>I25</f>
        <v>17.081863443783423</v>
      </c>
      <c r="B58" s="4">
        <v>-0.7697157603408762</v>
      </c>
      <c r="C58" s="11">
        <v>221.1340494294688</v>
      </c>
      <c r="D58" s="4">
        <v>-0.471884695094082</v>
      </c>
      <c r="E58" s="4">
        <f aca="true" t="shared" si="31" ref="E58:E77">SQRT(B58^2+D58^2)</f>
        <v>0.9028496647732489</v>
      </c>
      <c r="F58" s="83">
        <f aca="true" t="shared" si="32" ref="F58:F77">-B58*$E$29*(1-$E$33)/$E$30/$E$34</f>
        <v>1.4512670475434857</v>
      </c>
      <c r="G58" s="86">
        <f aca="true" t="shared" si="33" ref="G58:G77">C58*$E$29*(1-$E$33)/$E$30/$E$34</f>
        <v>416.9390514814401</v>
      </c>
      <c r="H58" s="88">
        <f aca="true" t="shared" si="34" ref="H58:H77">-D58*$E$29*(1-$E$33)/$E$30/$E$34</f>
        <v>0.8897189631752666</v>
      </c>
      <c r="I58" s="88">
        <f aca="true" t="shared" si="35" ref="I58:I77">E58*$E$29*(1-$E$33)/$E$30/$E$34</f>
        <v>1.7022854862564203</v>
      </c>
      <c r="J58" s="57">
        <f aca="true" t="shared" si="36" ref="J58:J77">E58*E$29/E$30</f>
        <v>0.8510096437978424</v>
      </c>
      <c r="K58" s="11">
        <f aca="true" t="shared" si="37" ref="K58:K77">L$33*E$14/120*F58^2/E$8*E$7*E$10*(E$10-1)*E$5/E$6</f>
        <v>124.61740824782206</v>
      </c>
      <c r="L58" s="11">
        <f aca="true" t="shared" si="38" ref="L58:L77">L$34*E$14/6*F58^2/E$9*E$7*E$5/E$6*(1+(G58*E$5/F58)^2/15)</f>
        <v>6323.942690424484</v>
      </c>
      <c r="M58" s="15">
        <f aca="true" t="shared" si="39" ref="M58:M77">L$35*E$14/8*H58^2/E$9*E$7*E$6/E$5</f>
        <v>11.32486960895757</v>
      </c>
      <c r="N58" s="11">
        <f aca="true" t="shared" si="40" ref="N58:N77">E$14*E$15*(E$12/E$11)^2*J58*(1-E$33)/E$34^2*(E$20/2/PI())^2/E$19*LN((E$18+E$19*J58)/(E$18+E$19*E$33*J58))</f>
        <v>3049.929453295186</v>
      </c>
      <c r="O58" s="11">
        <f aca="true" t="shared" si="41" ref="O58:O77">(Y58+Z58+AA58+AB58+AC58)/5</f>
        <v>8072.331084038468</v>
      </c>
      <c r="P58" s="11">
        <f aca="true" t="shared" si="42" ref="P58:P77">(AD58+AE58+AF58+AG58+AH58)/5</f>
        <v>46.69410038146144</v>
      </c>
      <c r="Q58" s="121">
        <f aca="true" t="shared" si="43" ref="Q58:Q77">SUM(K58:P58)</f>
        <v>17628.839605996378</v>
      </c>
      <c r="R58" s="90">
        <f>Q58*J$29*(A59-A58)</f>
        <v>0.12768668360770974</v>
      </c>
      <c r="S58" s="28"/>
      <c r="T58" s="79">
        <f aca="true" t="shared" si="44" ref="T58:T77">SQRT(($B58-$C58*0.8*$E$5)^2+$D58^2)*$E$29/$E$30</f>
        <v>1.599830870523886</v>
      </c>
      <c r="U58" s="80">
        <f aca="true" t="shared" si="45" ref="U58:U77">SQRT(($B58-$C58*0.4*$E$5)^2+$D58^2)*$E$29/$E$30</f>
        <v>1.2154472193661</v>
      </c>
      <c r="V58" s="80">
        <f aca="true" t="shared" si="46" ref="V58:V77">SQRT(($B58)^2+$D58^2)*$E$29/$E$30</f>
        <v>0.8510096437978424</v>
      </c>
      <c r="W58" s="80">
        <f aca="true" t="shared" si="47" ref="W58:W77">SQRT(($B58+$C58*0.4*$E$5)^2+$D58^2)*$E$29/$E$30</f>
        <v>0.5478824934214036</v>
      </c>
      <c r="X58" s="81">
        <f aca="true" t="shared" si="48" ref="X58:X77">SQRT(($B58+$C58*0.8*$E$5)^2+$D58^2)*$E$29/$E$30</f>
        <v>0.4529739300963749</v>
      </c>
      <c r="Y58" s="165">
        <f aca="true" t="shared" si="49" ref="Y58:Y77">$L$36*$E$14*$E$15*$E$17/$E$34*2/3*$E$21/PI()*($E$22*$E$23*LN((T58+$E$23)/($E$33*T58+$E$23))+$E$24*T58*(1-$E$33)+$E$25*T58^2/2*(1-$E$33^2))</f>
        <v>11316.349030093925</v>
      </c>
      <c r="Z58" s="165">
        <f aca="true" t="shared" si="50" ref="Z58:Z77">$L$36*$E$14*$E$15*$E$17/$E$34*2/3*$E$21/PI()*($E$22*$E$23*LN((U58+$E$23)/($E$33*U58+$E$23))+$E$24*U58*(1-$E$33)+$E$25*U58^2/2*(1-$E$33^2))</f>
        <v>9706.570955395086</v>
      </c>
      <c r="AA58" s="165">
        <f aca="true" t="shared" si="51" ref="AA58:AA77">$L$36*$E$14*$E$15*$E$17/$E$34*2/3*$E$21/PI()*($E$22*$E$23*LN((V58+$E$23)/($E$33*V58+$E$23))+$E$24*V58*(1-$E$33)+$E$25*V58^2/2*(1-$E$33^2))</f>
        <v>7903.190168556613</v>
      </c>
      <c r="AB58" s="165">
        <f aca="true" t="shared" si="52" ref="AB58:AB77">$L$36*$E$14*$E$15*$E$17/$E$34*2/3*$E$21/PI()*($E$22*$E$23*LN((W58+$E$23)/($E$33*W58+$E$23))+$E$24*W58*(1-$E$33)+$E$25*W58^2/2*(1-$E$33^2))</f>
        <v>6059.437641154</v>
      </c>
      <c r="AC58" s="165">
        <f aca="true" t="shared" si="53" ref="AC58:AC77">$L$36*$E$14*$E$15*$E$17/$E$34*2/3*$E$21/PI()*($E$22*$E$23*LN((X58+$E$23)/($E$33*X58+$E$23))+$E$24*X58*(1-$E$33)+$E$25*X58^2/2*(1-$E$33^2))</f>
        <v>5376.107624992717</v>
      </c>
      <c r="AD58" s="72">
        <f aca="true" t="shared" si="54" ref="AD58:AD77">1/9/PI()*$E$21/$E$34*$E$28^2*T58*(3*T58+4*$E$27)/($E$26*$E$27*$E$14*$E$15*$E$17*16*$E$5^2*$E$6^2)</f>
        <v>101.04910748000232</v>
      </c>
      <c r="AE58" s="73">
        <f aca="true" t="shared" si="55" ref="AE58:AE77">1/9/PI()*$E$21/$E$34*$E$28^2*U58*(3*U58+4*$E$27)/($E$26*$E$27*$E$14*$E$15*$E$17*16*$E$5^2*$E$6^2)</f>
        <v>63.75072983175011</v>
      </c>
      <c r="AF58" s="73">
        <f aca="true" t="shared" si="56" ref="AF58:AF77">1/9/PI()*$E$21/$E$34*$E$28^2*V58*(3*V58+4*$E$27)/($E$26*$E$27*$E$14*$E$15*$E$17*16*$E$5^2*$E$6^2)</f>
        <v>35.992896253497236</v>
      </c>
      <c r="AG58" s="73">
        <f aca="true" t="shared" si="57" ref="AG58:AG77">1/9/PI()*$E$21/$E$34*$E$28^2*W58*(3*W58+4*$E$27)/($E$26*$E$27*$E$14*$E$15*$E$17*16*$E$5^2*$E$6^2)</f>
        <v>18.544096529549098</v>
      </c>
      <c r="AH58" s="74">
        <f aca="true" t="shared" si="58" ref="AH58:AH77">1/9/PI()*$E$21/$E$34*$E$28^2*X58*(3*X58+4*$E$27)/($E$26*$E$27*$E$14*$E$15*$E$17*16*$E$5^2*$E$6^2)</f>
        <v>14.133671812508437</v>
      </c>
      <c r="AI58" s="28"/>
      <c r="BX58"/>
    </row>
    <row r="59" spans="1:76" ht="16.5">
      <c r="A59" s="18">
        <v>18</v>
      </c>
      <c r="B59" s="4">
        <v>-0.7688376834784396</v>
      </c>
      <c r="C59" s="11">
        <v>227.4487999096361</v>
      </c>
      <c r="D59" s="4">
        <v>-0.4725847095030641</v>
      </c>
      <c r="E59" s="4">
        <f t="shared" si="31"/>
        <v>0.9024675568642835</v>
      </c>
      <c r="F59" s="83">
        <f t="shared" si="32"/>
        <v>1.4496114701455376</v>
      </c>
      <c r="G59" s="86">
        <f t="shared" si="33"/>
        <v>428.8452508312724</v>
      </c>
      <c r="H59" s="88">
        <f t="shared" si="34"/>
        <v>0.8910388112242547</v>
      </c>
      <c r="I59" s="88">
        <f t="shared" si="35"/>
        <v>1.7015650376889624</v>
      </c>
      <c r="J59" s="57">
        <f t="shared" si="36"/>
        <v>0.8506494758449832</v>
      </c>
      <c r="K59" s="11">
        <f t="shared" si="37"/>
        <v>124.33324816101029</v>
      </c>
      <c r="L59" s="11">
        <f t="shared" si="38"/>
        <v>6353.395686686154</v>
      </c>
      <c r="M59" s="15">
        <f t="shared" si="39"/>
        <v>11.358494144960337</v>
      </c>
      <c r="N59" s="11">
        <f t="shared" si="40"/>
        <v>3047.614306495504</v>
      </c>
      <c r="O59" s="11">
        <f t="shared" si="41"/>
        <v>8097.618594224058</v>
      </c>
      <c r="P59" s="11">
        <f t="shared" si="42"/>
        <v>47.3223759222615</v>
      </c>
      <c r="Q59" s="121">
        <f t="shared" si="43"/>
        <v>17681.64270563395</v>
      </c>
      <c r="R59" s="90">
        <f aca="true" t="shared" si="59" ref="R59:R76">Q59*J$29</f>
        <v>0.139488117079694</v>
      </c>
      <c r="S59" s="28"/>
      <c r="T59" s="79">
        <f t="shared" si="44"/>
        <v>1.6214813910538897</v>
      </c>
      <c r="U59" s="80">
        <f t="shared" si="45"/>
        <v>1.2257024080660173</v>
      </c>
      <c r="V59" s="80">
        <f t="shared" si="46"/>
        <v>0.8506494758449832</v>
      </c>
      <c r="W59" s="80">
        <f t="shared" si="47"/>
        <v>0.5412728649984132</v>
      </c>
      <c r="X59" s="81">
        <f t="shared" si="48"/>
        <v>0.45876109689420147</v>
      </c>
      <c r="Y59" s="165">
        <f t="shared" si="49"/>
        <v>11400.320773942787</v>
      </c>
      <c r="Z59" s="165">
        <f t="shared" si="50"/>
        <v>9752.841134085496</v>
      </c>
      <c r="AA59" s="165">
        <f t="shared" si="51"/>
        <v>7901.22476468859</v>
      </c>
      <c r="AB59" s="165">
        <f t="shared" si="52"/>
        <v>6013.934555076829</v>
      </c>
      <c r="AC59" s="165">
        <f t="shared" si="53"/>
        <v>5419.771743326597</v>
      </c>
      <c r="AD59" s="72">
        <f t="shared" si="54"/>
        <v>103.3949313574415</v>
      </c>
      <c r="AE59" s="73">
        <f t="shared" si="55"/>
        <v>64.63891221130314</v>
      </c>
      <c r="AF59" s="73">
        <f t="shared" si="56"/>
        <v>35.96912513216645</v>
      </c>
      <c r="AG59" s="73">
        <f t="shared" si="57"/>
        <v>18.220681129774245</v>
      </c>
      <c r="AH59" s="74">
        <f t="shared" si="58"/>
        <v>14.388229780622162</v>
      </c>
      <c r="AI59" s="28"/>
      <c r="BX59"/>
    </row>
    <row r="60" spans="1:76" ht="16.5">
      <c r="A60" s="18">
        <v>19</v>
      </c>
      <c r="B60" s="4">
        <v>-0.7670354695833996</v>
      </c>
      <c r="C60" s="11">
        <v>231.74178888809186</v>
      </c>
      <c r="D60" s="4">
        <v>-0.5261554631417936</v>
      </c>
      <c r="E60" s="4">
        <f t="shared" si="31"/>
        <v>0.9301521289514859</v>
      </c>
      <c r="F60" s="83">
        <f t="shared" si="32"/>
        <v>1.4462134708148</v>
      </c>
      <c r="G60" s="86">
        <f t="shared" si="33"/>
        <v>436.93950297071285</v>
      </c>
      <c r="H60" s="88">
        <f t="shared" si="34"/>
        <v>0.9920442387778339</v>
      </c>
      <c r="I60" s="88">
        <f t="shared" si="35"/>
        <v>1.7537631467386015</v>
      </c>
      <c r="J60" s="57">
        <f t="shared" si="36"/>
        <v>0.876744449072384</v>
      </c>
      <c r="K60" s="11">
        <f t="shared" si="37"/>
        <v>123.75103818943977</v>
      </c>
      <c r="L60" s="11">
        <f t="shared" si="38"/>
        <v>6356.630337759381</v>
      </c>
      <c r="M60" s="15">
        <f t="shared" si="39"/>
        <v>14.079576598058578</v>
      </c>
      <c r="N60" s="11">
        <f t="shared" si="40"/>
        <v>3217.158875804073</v>
      </c>
      <c r="O60" s="11">
        <f t="shared" si="41"/>
        <v>8298.099773456715</v>
      </c>
      <c r="P60" s="11">
        <f t="shared" si="42"/>
        <v>49.5779894735429</v>
      </c>
      <c r="Q60" s="121">
        <f t="shared" si="43"/>
        <v>18059.29759128121</v>
      </c>
      <c r="R60" s="90">
        <f t="shared" si="59"/>
        <v>0.1424673860187784</v>
      </c>
      <c r="S60" s="28"/>
      <c r="T60" s="79">
        <f t="shared" si="44"/>
        <v>1.6494684242355497</v>
      </c>
      <c r="U60" s="80">
        <f t="shared" si="45"/>
        <v>1.2506095091076335</v>
      </c>
      <c r="V60" s="80">
        <f t="shared" si="46"/>
        <v>0.876744449072384</v>
      </c>
      <c r="W60" s="80">
        <f t="shared" si="47"/>
        <v>0.5785465726080433</v>
      </c>
      <c r="X60" s="81">
        <f t="shared" si="48"/>
        <v>0.5119863937276687</v>
      </c>
      <c r="Y60" s="165">
        <f t="shared" si="49"/>
        <v>11507.939319444105</v>
      </c>
      <c r="Z60" s="165">
        <f t="shared" si="50"/>
        <v>9864.364913437952</v>
      </c>
      <c r="AA60" s="165">
        <f t="shared" si="51"/>
        <v>8042.513165580592</v>
      </c>
      <c r="AB60" s="165">
        <f t="shared" si="52"/>
        <v>6266.910808069131</v>
      </c>
      <c r="AC60" s="165">
        <f t="shared" si="53"/>
        <v>5808.770660751788</v>
      </c>
      <c r="AD60" s="72">
        <f t="shared" si="54"/>
        <v>106.46602765654163</v>
      </c>
      <c r="AE60" s="73">
        <f t="shared" si="55"/>
        <v>66.82047522559255</v>
      </c>
      <c r="AF60" s="73">
        <f t="shared" si="56"/>
        <v>37.71011062059875</v>
      </c>
      <c r="AG60" s="73">
        <f t="shared" si="57"/>
        <v>20.076370988443923</v>
      </c>
      <c r="AH60" s="74">
        <f t="shared" si="58"/>
        <v>16.816962876537634</v>
      </c>
      <c r="AI60" s="28"/>
      <c r="BX60"/>
    </row>
    <row r="61" spans="1:76" ht="16.5">
      <c r="A61" s="18">
        <v>20</v>
      </c>
      <c r="B61" s="4">
        <v>-0.7645686420397677</v>
      </c>
      <c r="C61" s="11">
        <v>234.49299316708385</v>
      </c>
      <c r="D61" s="4">
        <v>-0.5768430116951416</v>
      </c>
      <c r="E61" s="4">
        <f t="shared" si="31"/>
        <v>0.9577646206307977</v>
      </c>
      <c r="F61" s="83">
        <f t="shared" si="32"/>
        <v>1.4415623700961917</v>
      </c>
      <c r="G61" s="86">
        <f t="shared" si="33"/>
        <v>442.12678419436025</v>
      </c>
      <c r="H61" s="88">
        <f t="shared" si="34"/>
        <v>1.0876135030782779</v>
      </c>
      <c r="I61" s="88">
        <f t="shared" si="35"/>
        <v>1.8058253511775586</v>
      </c>
      <c r="J61" s="57">
        <f t="shared" si="36"/>
        <v>0.9027714806206361</v>
      </c>
      <c r="K61" s="11">
        <f t="shared" si="37"/>
        <v>122.9563380868742</v>
      </c>
      <c r="L61" s="11">
        <f t="shared" si="38"/>
        <v>6340.063160169999</v>
      </c>
      <c r="M61" s="15">
        <f t="shared" si="39"/>
        <v>16.92297441840688</v>
      </c>
      <c r="N61" s="11">
        <f t="shared" si="40"/>
        <v>3389.8739036835786</v>
      </c>
      <c r="O61" s="11">
        <f t="shared" si="41"/>
        <v>8480.81391794319</v>
      </c>
      <c r="P61" s="11">
        <f t="shared" si="42"/>
        <v>51.695667490356946</v>
      </c>
      <c r="Q61" s="121">
        <f t="shared" si="43"/>
        <v>18402.325961792405</v>
      </c>
      <c r="R61" s="90">
        <f t="shared" si="59"/>
        <v>0.14517349100597374</v>
      </c>
      <c r="S61" s="28"/>
      <c r="T61" s="79">
        <f t="shared" si="44"/>
        <v>1.6718008573741427</v>
      </c>
      <c r="U61" s="80">
        <f t="shared" si="45"/>
        <v>1.2727734342156625</v>
      </c>
      <c r="V61" s="80">
        <f t="shared" si="46"/>
        <v>0.9027714806206361</v>
      </c>
      <c r="W61" s="80">
        <f t="shared" si="47"/>
        <v>0.6164823605322791</v>
      </c>
      <c r="X61" s="81">
        <f t="shared" si="48"/>
        <v>0.561350762644497</v>
      </c>
      <c r="Y61" s="165">
        <f t="shared" si="49"/>
        <v>11593.076424795392</v>
      </c>
      <c r="Z61" s="165">
        <f t="shared" si="50"/>
        <v>9962.610419817085</v>
      </c>
      <c r="AA61" s="165">
        <f t="shared" si="51"/>
        <v>8181.257816952249</v>
      </c>
      <c r="AB61" s="165">
        <f t="shared" si="52"/>
        <v>6515.838555642762</v>
      </c>
      <c r="AC61" s="165">
        <f t="shared" si="53"/>
        <v>6151.286372508456</v>
      </c>
      <c r="AD61" s="72">
        <f t="shared" si="54"/>
        <v>108.94794534636254</v>
      </c>
      <c r="AE61" s="73">
        <f t="shared" si="55"/>
        <v>68.79084287667641</v>
      </c>
      <c r="AF61" s="73">
        <f t="shared" si="56"/>
        <v>39.48436819626621</v>
      </c>
      <c r="AG61" s="73">
        <f t="shared" si="57"/>
        <v>22.044533424868668</v>
      </c>
      <c r="AH61" s="74">
        <f t="shared" si="58"/>
        <v>19.21064760761089</v>
      </c>
      <c r="AI61" s="28"/>
      <c r="BX61"/>
    </row>
    <row r="62" spans="1:76" ht="16.5">
      <c r="A62" s="18">
        <v>21</v>
      </c>
      <c r="B62" s="4">
        <v>-0.7616067160810989</v>
      </c>
      <c r="C62" s="11">
        <v>236.30574107714503</v>
      </c>
      <c r="D62" s="4">
        <v>-0.62632377474028</v>
      </c>
      <c r="E62" s="4">
        <f t="shared" si="31"/>
        <v>0.986066052952209</v>
      </c>
      <c r="F62" s="83">
        <f t="shared" si="32"/>
        <v>1.4359777819110984</v>
      </c>
      <c r="G62" s="86">
        <f t="shared" si="33"/>
        <v>445.5446449722272</v>
      </c>
      <c r="H62" s="88">
        <f t="shared" si="34"/>
        <v>1.1809074235027668</v>
      </c>
      <c r="I62" s="88">
        <f t="shared" si="35"/>
        <v>1.859186524538692</v>
      </c>
      <c r="J62" s="57">
        <f t="shared" si="36"/>
        <v>0.929447895065406</v>
      </c>
      <c r="K62" s="11">
        <f t="shared" si="37"/>
        <v>122.00552184529468</v>
      </c>
      <c r="L62" s="11">
        <f t="shared" si="38"/>
        <v>6310.089678079196</v>
      </c>
      <c r="M62" s="15">
        <f t="shared" si="39"/>
        <v>19.95074977318595</v>
      </c>
      <c r="N62" s="11">
        <f t="shared" si="40"/>
        <v>3570.5822593020525</v>
      </c>
      <c r="O62" s="11">
        <f t="shared" si="41"/>
        <v>8654.394835334973</v>
      </c>
      <c r="P62" s="11">
        <f t="shared" si="42"/>
        <v>53.788072106559596</v>
      </c>
      <c r="Q62" s="121">
        <f t="shared" si="43"/>
        <v>18730.811116441262</v>
      </c>
      <c r="R62" s="90">
        <f t="shared" si="59"/>
        <v>0.14776486650616985</v>
      </c>
      <c r="S62" s="28"/>
      <c r="T62" s="79">
        <f t="shared" si="44"/>
        <v>1.6911609597369766</v>
      </c>
      <c r="U62" s="80">
        <f t="shared" si="45"/>
        <v>1.2938597145134942</v>
      </c>
      <c r="V62" s="80">
        <f t="shared" si="46"/>
        <v>0.929447895065406</v>
      </c>
      <c r="W62" s="80">
        <f t="shared" si="47"/>
        <v>0.6553065527981644</v>
      </c>
      <c r="X62" s="81">
        <f t="shared" si="48"/>
        <v>0.6088783345932408</v>
      </c>
      <c r="Y62" s="165">
        <f t="shared" si="49"/>
        <v>11666.361658210162</v>
      </c>
      <c r="Z62" s="165">
        <f t="shared" si="50"/>
        <v>10055.230762727568</v>
      </c>
      <c r="AA62" s="165">
        <f t="shared" si="51"/>
        <v>8321.306617555048</v>
      </c>
      <c r="AB62" s="165">
        <f t="shared" si="52"/>
        <v>6762.481051577351</v>
      </c>
      <c r="AC62" s="165">
        <f t="shared" si="53"/>
        <v>6466.594086604738</v>
      </c>
      <c r="AD62" s="72">
        <f t="shared" si="54"/>
        <v>111.12202681719442</v>
      </c>
      <c r="AE62" s="73">
        <f t="shared" si="55"/>
        <v>70.69082323122501</v>
      </c>
      <c r="AF62" s="73">
        <f t="shared" si="56"/>
        <v>41.342074543736416</v>
      </c>
      <c r="AG62" s="73">
        <f t="shared" si="57"/>
        <v>24.141837691239786</v>
      </c>
      <c r="AH62" s="74">
        <f t="shared" si="58"/>
        <v>21.643598249402306</v>
      </c>
      <c r="AI62" s="28"/>
      <c r="BX62"/>
    </row>
    <row r="63" spans="1:76" ht="16.5">
      <c r="A63" s="18">
        <v>22</v>
      </c>
      <c r="B63" s="4">
        <v>-0.7579205845403099</v>
      </c>
      <c r="C63" s="11">
        <v>237.4021344915991</v>
      </c>
      <c r="D63" s="4">
        <v>-0.6748782498644672</v>
      </c>
      <c r="E63" s="4">
        <f t="shared" si="31"/>
        <v>1.0148419899718633</v>
      </c>
      <c r="F63" s="83">
        <f t="shared" si="32"/>
        <v>1.4290277342263678</v>
      </c>
      <c r="G63" s="86">
        <f t="shared" si="33"/>
        <v>447.6118491474883</v>
      </c>
      <c r="H63" s="88">
        <f t="shared" si="34"/>
        <v>1.2724548665839588</v>
      </c>
      <c r="I63" s="88">
        <f t="shared" si="35"/>
        <v>1.9134423567699517</v>
      </c>
      <c r="J63" s="57">
        <f t="shared" si="36"/>
        <v>0.9565715689931086</v>
      </c>
      <c r="K63" s="11">
        <f t="shared" si="37"/>
        <v>120.82738078300098</v>
      </c>
      <c r="L63" s="11">
        <f t="shared" si="38"/>
        <v>6264.931273137203</v>
      </c>
      <c r="M63" s="15">
        <f t="shared" si="39"/>
        <v>23.16393247872452</v>
      </c>
      <c r="N63" s="11">
        <f t="shared" si="40"/>
        <v>3758.083621405133</v>
      </c>
      <c r="O63" s="11">
        <f t="shared" si="41"/>
        <v>8820.193082165624</v>
      </c>
      <c r="P63" s="11">
        <f t="shared" si="42"/>
        <v>55.86802783921054</v>
      </c>
      <c r="Q63" s="121">
        <f t="shared" si="43"/>
        <v>19043.067317808895</v>
      </c>
      <c r="R63" s="90">
        <f t="shared" si="59"/>
        <v>0.1502282139620796</v>
      </c>
      <c r="S63" s="28"/>
      <c r="T63" s="79">
        <f t="shared" si="44"/>
        <v>1.708184344717129</v>
      </c>
      <c r="U63" s="80">
        <f t="shared" si="45"/>
        <v>1.3140919287644417</v>
      </c>
      <c r="V63" s="80">
        <f t="shared" si="46"/>
        <v>0.9565715689931086</v>
      </c>
      <c r="W63" s="80">
        <f t="shared" si="47"/>
        <v>0.6945994987206279</v>
      </c>
      <c r="X63" s="81">
        <f t="shared" si="48"/>
        <v>0.6550996018124883</v>
      </c>
      <c r="Y63" s="165">
        <f t="shared" si="49"/>
        <v>11730.407948863438</v>
      </c>
      <c r="Z63" s="165">
        <f t="shared" si="50"/>
        <v>10143.339886467345</v>
      </c>
      <c r="AA63" s="165">
        <f t="shared" si="51"/>
        <v>8461.559131657472</v>
      </c>
      <c r="AB63" s="165">
        <f t="shared" si="52"/>
        <v>7004.471646838857</v>
      </c>
      <c r="AC63" s="165">
        <f t="shared" si="53"/>
        <v>6761.186797001011</v>
      </c>
      <c r="AD63" s="72">
        <f t="shared" si="54"/>
        <v>113.05096243056131</v>
      </c>
      <c r="AE63" s="73">
        <f t="shared" si="55"/>
        <v>72.53714444193827</v>
      </c>
      <c r="AF63" s="73">
        <f t="shared" si="56"/>
        <v>43.27159368526056</v>
      </c>
      <c r="AG63" s="73">
        <f t="shared" si="57"/>
        <v>26.35000326962031</v>
      </c>
      <c r="AH63" s="74">
        <f t="shared" si="58"/>
        <v>24.13043536867223</v>
      </c>
      <c r="AI63" s="28"/>
      <c r="BX63"/>
    </row>
    <row r="64" spans="1:76" ht="16.5">
      <c r="A64" s="18">
        <v>23</v>
      </c>
      <c r="B64" s="4">
        <v>-0.7536309780371777</v>
      </c>
      <c r="C64" s="11">
        <v>237.89539745988625</v>
      </c>
      <c r="D64" s="4">
        <v>-0.7229495947682708</v>
      </c>
      <c r="E64" s="4">
        <f t="shared" si="31"/>
        <v>1.044325508466053</v>
      </c>
      <c r="F64" s="83">
        <f t="shared" si="32"/>
        <v>1.4209398596034462</v>
      </c>
      <c r="G64" s="86">
        <f t="shared" si="33"/>
        <v>448.5418759554772</v>
      </c>
      <c r="H64" s="88">
        <f t="shared" si="34"/>
        <v>1.363091387731833</v>
      </c>
      <c r="I64" s="88">
        <f t="shared" si="35"/>
        <v>1.969032304437526</v>
      </c>
      <c r="J64" s="57">
        <f t="shared" si="36"/>
        <v>0.9843621963263414</v>
      </c>
      <c r="K64" s="11">
        <f t="shared" si="37"/>
        <v>119.46355662762355</v>
      </c>
      <c r="L64" s="11">
        <f t="shared" si="38"/>
        <v>6207.189985036499</v>
      </c>
      <c r="M64" s="15">
        <f t="shared" si="39"/>
        <v>26.58137632101091</v>
      </c>
      <c r="N64" s="11">
        <f t="shared" si="40"/>
        <v>3954.0683523156026</v>
      </c>
      <c r="O64" s="11">
        <f t="shared" si="41"/>
        <v>8980.585180126474</v>
      </c>
      <c r="P64" s="11">
        <f t="shared" si="42"/>
        <v>57.96594201826016</v>
      </c>
      <c r="Q64" s="121">
        <f t="shared" si="43"/>
        <v>19345.85439244547</v>
      </c>
      <c r="R64" s="90">
        <f t="shared" si="59"/>
        <v>0.15261686074226072</v>
      </c>
      <c r="S64" s="28"/>
      <c r="T64" s="79">
        <f t="shared" si="44"/>
        <v>1.7235187338981228</v>
      </c>
      <c r="U64" s="80">
        <f t="shared" si="45"/>
        <v>1.3339153700009732</v>
      </c>
      <c r="V64" s="80">
        <f t="shared" si="46"/>
        <v>0.9843621963263414</v>
      </c>
      <c r="W64" s="80">
        <f t="shared" si="47"/>
        <v>0.7344610158426015</v>
      </c>
      <c r="X64" s="81">
        <f t="shared" si="48"/>
        <v>0.700515784999321</v>
      </c>
      <c r="Y64" s="165">
        <f t="shared" si="49"/>
        <v>11787.788504051887</v>
      </c>
      <c r="Z64" s="165">
        <f t="shared" si="50"/>
        <v>10228.962779573234</v>
      </c>
      <c r="AA64" s="165">
        <f t="shared" si="51"/>
        <v>8603.11203329699</v>
      </c>
      <c r="AB64" s="165">
        <f t="shared" si="52"/>
        <v>7242.778677271947</v>
      </c>
      <c r="AC64" s="165">
        <f t="shared" si="53"/>
        <v>7040.283906438315</v>
      </c>
      <c r="AD64" s="72">
        <f t="shared" si="54"/>
        <v>114.802344003055</v>
      </c>
      <c r="AE64" s="73">
        <f t="shared" si="55"/>
        <v>74.36829065300171</v>
      </c>
      <c r="AF64" s="73">
        <f t="shared" si="56"/>
        <v>45.29108761692121</v>
      </c>
      <c r="AG64" s="73">
        <f t="shared" si="57"/>
        <v>28.678050183166135</v>
      </c>
      <c r="AH64" s="74">
        <f t="shared" si="58"/>
        <v>26.689937635156777</v>
      </c>
      <c r="AI64" s="28"/>
      <c r="BX64"/>
    </row>
    <row r="65" spans="1:76" ht="16.5">
      <c r="A65" s="18">
        <v>24</v>
      </c>
      <c r="B65" s="4">
        <v>-0.7488749448917655</v>
      </c>
      <c r="C65" s="11">
        <v>237.88242897712766</v>
      </c>
      <c r="D65" s="4">
        <v>-0.770882918956559</v>
      </c>
      <c r="E65" s="4">
        <f t="shared" si="31"/>
        <v>1.074743763799367</v>
      </c>
      <c r="F65" s="83">
        <f t="shared" si="32"/>
        <v>1.4119725569488861</v>
      </c>
      <c r="G65" s="86">
        <f t="shared" si="33"/>
        <v>448.51742442069786</v>
      </c>
      <c r="H65" s="88">
        <f t="shared" si="34"/>
        <v>1.4534676765619776</v>
      </c>
      <c r="I65" s="88">
        <f t="shared" si="35"/>
        <v>2.0263846595321557</v>
      </c>
      <c r="J65" s="57">
        <f t="shared" si="36"/>
        <v>1.0130338895729207</v>
      </c>
      <c r="K65" s="11">
        <f t="shared" si="37"/>
        <v>117.96048726745121</v>
      </c>
      <c r="L65" s="11">
        <f t="shared" si="38"/>
        <v>6139.61108993253</v>
      </c>
      <c r="M65" s="15">
        <f t="shared" si="39"/>
        <v>30.223048790158888</v>
      </c>
      <c r="N65" s="11">
        <f t="shared" si="40"/>
        <v>4160.308560133904</v>
      </c>
      <c r="O65" s="11">
        <f t="shared" si="41"/>
        <v>9137.547032772916</v>
      </c>
      <c r="P65" s="11">
        <f t="shared" si="42"/>
        <v>60.1117416631641</v>
      </c>
      <c r="Q65" s="121">
        <f t="shared" si="43"/>
        <v>19645.761960560125</v>
      </c>
      <c r="R65" s="90">
        <f t="shared" si="59"/>
        <v>0.1549827914801855</v>
      </c>
      <c r="S65" s="28"/>
      <c r="T65" s="79">
        <f t="shared" si="44"/>
        <v>1.737760218546132</v>
      </c>
      <c r="U65" s="80">
        <f t="shared" si="45"/>
        <v>1.3537474702842927</v>
      </c>
      <c r="V65" s="80">
        <f t="shared" si="46"/>
        <v>1.0130338895729207</v>
      </c>
      <c r="W65" s="80">
        <f t="shared" si="47"/>
        <v>0.7750012396943982</v>
      </c>
      <c r="X65" s="81">
        <f t="shared" si="48"/>
        <v>0.7455199485023616</v>
      </c>
      <c r="Y65" s="165">
        <f t="shared" si="49"/>
        <v>11840.818185950537</v>
      </c>
      <c r="Z65" s="165">
        <f t="shared" si="50"/>
        <v>10313.938279751033</v>
      </c>
      <c r="AA65" s="165">
        <f t="shared" si="51"/>
        <v>8746.96881726694</v>
      </c>
      <c r="AB65" s="165">
        <f t="shared" si="52"/>
        <v>7478.319253930904</v>
      </c>
      <c r="AC65" s="165">
        <f t="shared" si="53"/>
        <v>7307.690626965171</v>
      </c>
      <c r="AD65" s="72">
        <f t="shared" si="54"/>
        <v>116.44064007928337</v>
      </c>
      <c r="AE65" s="73">
        <f t="shared" si="55"/>
        <v>76.22215345396076</v>
      </c>
      <c r="AF65" s="73">
        <f t="shared" si="56"/>
        <v>47.419721396831655</v>
      </c>
      <c r="AG65" s="73">
        <f t="shared" si="57"/>
        <v>31.136571177158366</v>
      </c>
      <c r="AH65" s="74">
        <f t="shared" si="58"/>
        <v>29.339622208586363</v>
      </c>
      <c r="AI65" s="28"/>
      <c r="BX65"/>
    </row>
    <row r="66" spans="1:76" ht="16.5">
      <c r="A66" s="18">
        <v>25</v>
      </c>
      <c r="B66" s="4">
        <v>-0.7435059454395301</v>
      </c>
      <c r="C66" s="11">
        <v>237.38808390302393</v>
      </c>
      <c r="D66" s="4">
        <v>-0.8189315282179058</v>
      </c>
      <c r="E66" s="4">
        <f t="shared" si="31"/>
        <v>1.1060967131373476</v>
      </c>
      <c r="F66" s="83">
        <f t="shared" si="32"/>
        <v>1.401849531820938</v>
      </c>
      <c r="G66" s="86">
        <f t="shared" si="33"/>
        <v>447.5853573472051</v>
      </c>
      <c r="H66" s="88">
        <f t="shared" si="34"/>
        <v>1.544061330601755</v>
      </c>
      <c r="I66" s="88">
        <f t="shared" si="35"/>
        <v>2.0854993412912517</v>
      </c>
      <c r="J66" s="57">
        <f t="shared" si="36"/>
        <v>1.0425866083578668</v>
      </c>
      <c r="K66" s="11">
        <f t="shared" si="37"/>
        <v>116.27513381290215</v>
      </c>
      <c r="L66" s="11">
        <f t="shared" si="38"/>
        <v>6060.438590556683</v>
      </c>
      <c r="M66" s="15">
        <f t="shared" si="39"/>
        <v>34.10802789859074</v>
      </c>
      <c r="N66" s="11">
        <f t="shared" si="40"/>
        <v>4377.112129247604</v>
      </c>
      <c r="O66" s="11">
        <f t="shared" si="41"/>
        <v>9291.831827890557</v>
      </c>
      <c r="P66" s="11">
        <f t="shared" si="42"/>
        <v>62.313716356636476</v>
      </c>
      <c r="Q66" s="121">
        <f t="shared" si="43"/>
        <v>19942.07942576297</v>
      </c>
      <c r="R66" s="90">
        <f t="shared" si="59"/>
        <v>0.1573204003758682</v>
      </c>
      <c r="S66" s="28"/>
      <c r="T66" s="79">
        <f t="shared" si="44"/>
        <v>1.751006326591427</v>
      </c>
      <c r="U66" s="80">
        <f t="shared" si="45"/>
        <v>1.3736460887141182</v>
      </c>
      <c r="V66" s="80">
        <f t="shared" si="46"/>
        <v>1.0425866083578668</v>
      </c>
      <c r="W66" s="80">
        <f t="shared" si="47"/>
        <v>0.816255433320905</v>
      </c>
      <c r="X66" s="81">
        <f t="shared" si="48"/>
        <v>0.7904187918665714</v>
      </c>
      <c r="Y66" s="165">
        <f t="shared" si="49"/>
        <v>11889.91793573855</v>
      </c>
      <c r="Z66" s="165">
        <f t="shared" si="50"/>
        <v>10398.524347170389</v>
      </c>
      <c r="AA66" s="165">
        <f t="shared" si="51"/>
        <v>8893.021284217075</v>
      </c>
      <c r="AB66" s="165">
        <f t="shared" si="52"/>
        <v>7711.492894959233</v>
      </c>
      <c r="AC66" s="165">
        <f t="shared" si="53"/>
        <v>7566.202677367542</v>
      </c>
      <c r="AD66" s="72">
        <f t="shared" si="54"/>
        <v>117.97457790660093</v>
      </c>
      <c r="AE66" s="73">
        <f t="shared" si="55"/>
        <v>78.10426615858816</v>
      </c>
      <c r="AF66" s="73">
        <f t="shared" si="56"/>
        <v>49.661715853246754</v>
      </c>
      <c r="AG66" s="73">
        <f t="shared" si="57"/>
        <v>33.73242631636506</v>
      </c>
      <c r="AH66" s="74">
        <f t="shared" si="58"/>
        <v>32.095595548381496</v>
      </c>
      <c r="AI66" s="28"/>
      <c r="BX66"/>
    </row>
    <row r="67" spans="1:76" ht="16.5">
      <c r="A67" s="18">
        <v>26</v>
      </c>
      <c r="B67" s="4">
        <v>-0.7379026729240881</v>
      </c>
      <c r="C67" s="11">
        <v>236.44602626135057</v>
      </c>
      <c r="D67" s="4">
        <v>-0.8674766866019769</v>
      </c>
      <c r="E67" s="4">
        <f t="shared" si="31"/>
        <v>1.1388661714646098</v>
      </c>
      <c r="F67" s="83">
        <f t="shared" si="32"/>
        <v>1.3912847945775877</v>
      </c>
      <c r="G67" s="86">
        <f t="shared" si="33"/>
        <v>445.809146851474</v>
      </c>
      <c r="H67" s="88">
        <f t="shared" si="34"/>
        <v>1.635591207357015</v>
      </c>
      <c r="I67" s="88">
        <f t="shared" si="35"/>
        <v>2.147284791825802</v>
      </c>
      <c r="J67" s="57">
        <f t="shared" si="36"/>
        <v>1.0734745027068504</v>
      </c>
      <c r="K67" s="11">
        <f t="shared" si="37"/>
        <v>114.52917269280135</v>
      </c>
      <c r="L67" s="11">
        <f t="shared" si="38"/>
        <v>5975.394173629463</v>
      </c>
      <c r="M67" s="15">
        <f t="shared" si="39"/>
        <v>38.27163804406526</v>
      </c>
      <c r="N67" s="11">
        <f t="shared" si="40"/>
        <v>4608.219248916815</v>
      </c>
      <c r="O67" s="11">
        <f t="shared" si="41"/>
        <v>9445.745044816755</v>
      </c>
      <c r="P67" s="11">
        <f t="shared" si="42"/>
        <v>64.61536165248889</v>
      </c>
      <c r="Q67" s="121">
        <f t="shared" si="43"/>
        <v>20246.774639752388</v>
      </c>
      <c r="R67" s="90">
        <f t="shared" si="59"/>
        <v>0.15972410021248098</v>
      </c>
      <c r="S67" s="28"/>
      <c r="T67" s="79">
        <f t="shared" si="44"/>
        <v>1.763907569619933</v>
      </c>
      <c r="U67" s="80">
        <f t="shared" si="45"/>
        <v>1.3941876292978608</v>
      </c>
      <c r="V67" s="80">
        <f t="shared" si="46"/>
        <v>1.0734745027068504</v>
      </c>
      <c r="W67" s="80">
        <f t="shared" si="47"/>
        <v>0.8585656649238254</v>
      </c>
      <c r="X67" s="81">
        <f t="shared" si="48"/>
        <v>0.8355367285525518</v>
      </c>
      <c r="Y67" s="165">
        <f t="shared" si="49"/>
        <v>11937.534236520007</v>
      </c>
      <c r="Z67" s="165">
        <f t="shared" si="50"/>
        <v>10485.148961640503</v>
      </c>
      <c r="AA67" s="165">
        <f t="shared" si="51"/>
        <v>9043.359098894362</v>
      </c>
      <c r="AB67" s="165">
        <f t="shared" si="52"/>
        <v>7944.322821543082</v>
      </c>
      <c r="AC67" s="165">
        <f t="shared" si="53"/>
        <v>7818.360105485823</v>
      </c>
      <c r="AD67" s="72">
        <f t="shared" si="54"/>
        <v>119.47798011023762</v>
      </c>
      <c r="AE67" s="73">
        <f t="shared" si="55"/>
        <v>80.07033961083026</v>
      </c>
      <c r="AF67" s="73">
        <f t="shared" si="56"/>
        <v>52.05702837113663</v>
      </c>
      <c r="AG67" s="73">
        <f t="shared" si="57"/>
        <v>36.493261323595505</v>
      </c>
      <c r="AH67" s="74">
        <f t="shared" si="58"/>
        <v>34.978198846644446</v>
      </c>
      <c r="AI67" s="28"/>
      <c r="BX67"/>
    </row>
    <row r="68" spans="1:76" ht="16.5">
      <c r="A68" s="18">
        <v>27</v>
      </c>
      <c r="B68" s="4">
        <v>-0.7316515309435765</v>
      </c>
      <c r="C68" s="11">
        <v>235.02302523518713</v>
      </c>
      <c r="D68" s="4">
        <v>-0.9167679179694548</v>
      </c>
      <c r="E68" s="4">
        <f t="shared" si="31"/>
        <v>1.17293536827488</v>
      </c>
      <c r="F68" s="83">
        <f t="shared" si="32"/>
        <v>1.3794985264078743</v>
      </c>
      <c r="G68" s="86">
        <f t="shared" si="33"/>
        <v>443.1261376105343</v>
      </c>
      <c r="H68" s="88">
        <f t="shared" si="34"/>
        <v>1.7285277736873998</v>
      </c>
      <c r="I68" s="88">
        <f t="shared" si="35"/>
        <v>2.211520845203639</v>
      </c>
      <c r="J68" s="57">
        <f t="shared" si="36"/>
        <v>1.1055875068682557</v>
      </c>
      <c r="K68" s="11">
        <f t="shared" si="37"/>
        <v>112.59692441418257</v>
      </c>
      <c r="L68" s="11">
        <f t="shared" si="38"/>
        <v>5878.6398327467605</v>
      </c>
      <c r="M68" s="15">
        <f t="shared" si="39"/>
        <v>42.744499912568216</v>
      </c>
      <c r="N68" s="11">
        <f t="shared" si="40"/>
        <v>4853.295165363169</v>
      </c>
      <c r="O68" s="11">
        <f t="shared" si="41"/>
        <v>9599.280264510016</v>
      </c>
      <c r="P68" s="11">
        <f t="shared" si="42"/>
        <v>67.01362161686207</v>
      </c>
      <c r="Q68" s="121">
        <f t="shared" si="43"/>
        <v>20553.570308563558</v>
      </c>
      <c r="R68" s="90">
        <f t="shared" si="59"/>
        <v>0.16214437025656686</v>
      </c>
      <c r="S68" s="28"/>
      <c r="T68" s="79">
        <f t="shared" si="44"/>
        <v>1.7762023750535718</v>
      </c>
      <c r="U68" s="80">
        <f t="shared" si="45"/>
        <v>1.415191507829627</v>
      </c>
      <c r="V68" s="80">
        <f t="shared" si="46"/>
        <v>1.1055875068682557</v>
      </c>
      <c r="W68" s="80">
        <f t="shared" si="47"/>
        <v>0.901978420848395</v>
      </c>
      <c r="X68" s="81">
        <f t="shared" si="48"/>
        <v>0.8811872745518347</v>
      </c>
      <c r="Y68" s="165">
        <f t="shared" si="49"/>
        <v>11982.725599705669</v>
      </c>
      <c r="Z68" s="165">
        <f t="shared" si="50"/>
        <v>10573.00848241324</v>
      </c>
      <c r="AA68" s="165">
        <f t="shared" si="51"/>
        <v>9197.257801650343</v>
      </c>
      <c r="AB68" s="165">
        <f t="shared" si="52"/>
        <v>8177.061358200076</v>
      </c>
      <c r="AC68" s="165">
        <f t="shared" si="53"/>
        <v>8066.348080580756</v>
      </c>
      <c r="AD68" s="72">
        <f t="shared" si="54"/>
        <v>120.91934609499496</v>
      </c>
      <c r="AE68" s="73">
        <f t="shared" si="55"/>
        <v>82.10498227196126</v>
      </c>
      <c r="AF68" s="73">
        <f t="shared" si="56"/>
        <v>54.60372717057505</v>
      </c>
      <c r="AG68" s="73">
        <f t="shared" si="57"/>
        <v>39.42974777661687</v>
      </c>
      <c r="AH68" s="74">
        <f t="shared" si="58"/>
        <v>38.01030477016221</v>
      </c>
      <c r="AI68" s="28"/>
      <c r="BX68"/>
    </row>
    <row r="69" spans="1:76" ht="16.5">
      <c r="A69" s="18">
        <v>28</v>
      </c>
      <c r="B69" s="4">
        <v>-0.725054795017682</v>
      </c>
      <c r="C69" s="11">
        <v>233.10995497958777</v>
      </c>
      <c r="D69" s="4">
        <v>-0.9671283960386144</v>
      </c>
      <c r="E69" s="4">
        <f t="shared" si="31"/>
        <v>1.208735616337318</v>
      </c>
      <c r="F69" s="83">
        <f t="shared" si="32"/>
        <v>1.3670606552301334</v>
      </c>
      <c r="G69" s="86">
        <f t="shared" si="33"/>
        <v>439.5191232233566</v>
      </c>
      <c r="H69" s="88">
        <f t="shared" si="34"/>
        <v>1.8234803601953604</v>
      </c>
      <c r="I69" s="88">
        <f t="shared" si="35"/>
        <v>2.279020723709296</v>
      </c>
      <c r="J69" s="57">
        <f t="shared" si="36"/>
        <v>1.139332168399632</v>
      </c>
      <c r="K69" s="11">
        <f t="shared" si="37"/>
        <v>110.57567893306557</v>
      </c>
      <c r="L69" s="11">
        <f t="shared" si="38"/>
        <v>5774.54161908019</v>
      </c>
      <c r="M69" s="15">
        <f t="shared" si="39"/>
        <v>47.56962156363647</v>
      </c>
      <c r="N69" s="11">
        <f t="shared" si="40"/>
        <v>5116.005767660745</v>
      </c>
      <c r="O69" s="11">
        <f t="shared" si="41"/>
        <v>9754.198246293283</v>
      </c>
      <c r="P69" s="11">
        <f t="shared" si="42"/>
        <v>69.54811673592253</v>
      </c>
      <c r="Q69" s="121">
        <f t="shared" si="43"/>
        <v>20872.43905026684</v>
      </c>
      <c r="R69" s="90">
        <f t="shared" si="59"/>
        <v>0.16465988315976504</v>
      </c>
      <c r="S69" s="28"/>
      <c r="T69" s="79">
        <f t="shared" si="44"/>
        <v>1.7883739515245247</v>
      </c>
      <c r="U69" s="80">
        <f t="shared" si="45"/>
        <v>1.4371327216799712</v>
      </c>
      <c r="V69" s="80">
        <f t="shared" si="46"/>
        <v>1.139332168399632</v>
      </c>
      <c r="W69" s="80">
        <f t="shared" si="47"/>
        <v>0.9468175015134748</v>
      </c>
      <c r="X69" s="81">
        <f t="shared" si="48"/>
        <v>0.927635291151278</v>
      </c>
      <c r="Y69" s="165">
        <f t="shared" si="49"/>
        <v>12027.286112052547</v>
      </c>
      <c r="Z69" s="165">
        <f t="shared" si="50"/>
        <v>10664.032749253543</v>
      </c>
      <c r="AA69" s="165">
        <f t="shared" si="51"/>
        <v>9356.449047378523</v>
      </c>
      <c r="AB69" s="165">
        <f t="shared" si="52"/>
        <v>8411.365461015155</v>
      </c>
      <c r="AC69" s="165">
        <f t="shared" si="53"/>
        <v>8311.857861766646</v>
      </c>
      <c r="AD69" s="72">
        <f t="shared" si="54"/>
        <v>122.3545643728497</v>
      </c>
      <c r="AE69" s="73">
        <f t="shared" si="55"/>
        <v>84.25668341877503</v>
      </c>
      <c r="AF69" s="73">
        <f t="shared" si="56"/>
        <v>57.341755312646235</v>
      </c>
      <c r="AG69" s="73">
        <f t="shared" si="57"/>
        <v>42.57298906179872</v>
      </c>
      <c r="AH69" s="74">
        <f t="shared" si="58"/>
        <v>41.214591513542906</v>
      </c>
      <c r="AI69" s="28"/>
      <c r="BX69"/>
    </row>
    <row r="70" spans="1:76" ht="16.5">
      <c r="A70" s="18">
        <v>29</v>
      </c>
      <c r="B70" s="4">
        <v>-0.7179155992224899</v>
      </c>
      <c r="C70" s="11">
        <v>230.61392478009316</v>
      </c>
      <c r="D70" s="4">
        <v>-1.0189111298928748</v>
      </c>
      <c r="E70" s="4">
        <f t="shared" si="31"/>
        <v>1.246427975547148</v>
      </c>
      <c r="F70" s="83">
        <f t="shared" si="32"/>
        <v>1.3535999985340372</v>
      </c>
      <c r="G70" s="86">
        <f t="shared" si="33"/>
        <v>434.812962111889</v>
      </c>
      <c r="H70" s="88">
        <f t="shared" si="34"/>
        <v>1.921114550823238</v>
      </c>
      <c r="I70" s="88">
        <f t="shared" si="35"/>
        <v>2.3500880990754616</v>
      </c>
      <c r="J70" s="57">
        <f t="shared" si="36"/>
        <v>1.1748602994236532</v>
      </c>
      <c r="K70" s="11">
        <f t="shared" si="37"/>
        <v>108.40884978004279</v>
      </c>
      <c r="L70" s="11">
        <f t="shared" si="38"/>
        <v>5660.004087609196</v>
      </c>
      <c r="M70" s="15">
        <f t="shared" si="39"/>
        <v>52.800014170450844</v>
      </c>
      <c r="N70" s="11">
        <f t="shared" si="40"/>
        <v>5398.236245749903</v>
      </c>
      <c r="O70" s="11">
        <f t="shared" si="41"/>
        <v>9911.11204915074</v>
      </c>
      <c r="P70" s="11">
        <f t="shared" si="42"/>
        <v>72.23341428283297</v>
      </c>
      <c r="Q70" s="121">
        <f t="shared" si="43"/>
        <v>21202.794660743166</v>
      </c>
      <c r="R70" s="90">
        <f t="shared" si="59"/>
        <v>0.16726601443609565</v>
      </c>
      <c r="S70" s="28"/>
      <c r="T70" s="79">
        <f t="shared" si="44"/>
        <v>1.8002835855707373</v>
      </c>
      <c r="U70" s="80">
        <f t="shared" si="45"/>
        <v>1.4600424849988263</v>
      </c>
      <c r="V70" s="80">
        <f t="shared" si="46"/>
        <v>1.1748602994236532</v>
      </c>
      <c r="W70" s="80">
        <f t="shared" si="47"/>
        <v>0.9933473631898838</v>
      </c>
      <c r="X70" s="81">
        <f t="shared" si="48"/>
        <v>0.9752183552338035</v>
      </c>
      <c r="Y70" s="165">
        <f t="shared" si="49"/>
        <v>12070.717736551353</v>
      </c>
      <c r="Z70" s="165">
        <f t="shared" si="50"/>
        <v>10758.267584169309</v>
      </c>
      <c r="AA70" s="165">
        <f t="shared" si="51"/>
        <v>9521.374811041991</v>
      </c>
      <c r="AB70" s="165">
        <f t="shared" si="52"/>
        <v>8648.42827566859</v>
      </c>
      <c r="AC70" s="165">
        <f t="shared" si="53"/>
        <v>8556.771838322453</v>
      </c>
      <c r="AD70" s="72">
        <f t="shared" si="54"/>
        <v>123.76688801180559</v>
      </c>
      <c r="AE70" s="73">
        <f t="shared" si="55"/>
        <v>86.53200185875937</v>
      </c>
      <c r="AF70" s="73">
        <f t="shared" si="56"/>
        <v>60.2930798782596</v>
      </c>
      <c r="AG70" s="73">
        <f t="shared" si="57"/>
        <v>45.953231770198066</v>
      </c>
      <c r="AH70" s="74">
        <f t="shared" si="58"/>
        <v>44.621869895142204</v>
      </c>
      <c r="AI70" s="28"/>
      <c r="BX70"/>
    </row>
    <row r="71" spans="1:76" ht="16.5">
      <c r="A71" s="18">
        <v>30</v>
      </c>
      <c r="B71" s="4">
        <v>-0.7102502150156997</v>
      </c>
      <c r="C71" s="11">
        <v>227.50587821073148</v>
      </c>
      <c r="D71" s="4">
        <v>-1.072381236051545</v>
      </c>
      <c r="E71" s="4">
        <f t="shared" si="31"/>
        <v>1.2862569274314084</v>
      </c>
      <c r="F71" s="83">
        <f t="shared" si="32"/>
        <v>1.339147235476219</v>
      </c>
      <c r="G71" s="86">
        <f t="shared" si="33"/>
        <v>428.95286959364876</v>
      </c>
      <c r="H71" s="88">
        <f t="shared" si="34"/>
        <v>2.021930211739891</v>
      </c>
      <c r="I71" s="88">
        <f t="shared" si="35"/>
        <v>2.4251839310514414</v>
      </c>
      <c r="J71" s="57">
        <f t="shared" si="36"/>
        <v>1.2124023437731724</v>
      </c>
      <c r="K71" s="11">
        <f t="shared" si="37"/>
        <v>106.10618606552913</v>
      </c>
      <c r="L71" s="11">
        <f t="shared" si="38"/>
        <v>5535.398039506599</v>
      </c>
      <c r="M71" s="15">
        <f t="shared" si="39"/>
        <v>58.48706650905557</v>
      </c>
      <c r="N71" s="11">
        <f t="shared" si="40"/>
        <v>5702.627825956508</v>
      </c>
      <c r="O71" s="11">
        <f t="shared" si="41"/>
        <v>10070.994618858856</v>
      </c>
      <c r="P71" s="11">
        <f t="shared" si="42"/>
        <v>75.09941765107365</v>
      </c>
      <c r="Q71" s="121">
        <f t="shared" si="43"/>
        <v>21548.713154547622</v>
      </c>
      <c r="R71" s="90">
        <f t="shared" si="59"/>
        <v>0.16999491921983798</v>
      </c>
      <c r="S71" s="28"/>
      <c r="T71" s="79">
        <f t="shared" si="44"/>
        <v>1.8121780969292987</v>
      </c>
      <c r="U71" s="80">
        <f t="shared" si="45"/>
        <v>1.4841867321748523</v>
      </c>
      <c r="V71" s="80">
        <f t="shared" si="46"/>
        <v>1.2124023437731724</v>
      </c>
      <c r="W71" s="80">
        <f t="shared" si="47"/>
        <v>1.0417854945518967</v>
      </c>
      <c r="X71" s="81">
        <f t="shared" si="48"/>
        <v>1.024208463341346</v>
      </c>
      <c r="Y71" s="165">
        <f t="shared" si="49"/>
        <v>12113.927839076996</v>
      </c>
      <c r="Z71" s="165">
        <f t="shared" si="50"/>
        <v>10856.70632929124</v>
      </c>
      <c r="AA71" s="165">
        <f t="shared" si="51"/>
        <v>9692.792763714264</v>
      </c>
      <c r="AB71" s="165">
        <f t="shared" si="52"/>
        <v>8889.09106568733</v>
      </c>
      <c r="AC71" s="165">
        <f t="shared" si="53"/>
        <v>8802.455096524456</v>
      </c>
      <c r="AD71" s="72">
        <f t="shared" si="54"/>
        <v>125.18530876248559</v>
      </c>
      <c r="AE71" s="73">
        <f t="shared" si="55"/>
        <v>88.96158515160738</v>
      </c>
      <c r="AF71" s="73">
        <f t="shared" si="56"/>
        <v>63.48814751515917</v>
      </c>
      <c r="AG71" s="73">
        <f t="shared" si="57"/>
        <v>49.600298077444506</v>
      </c>
      <c r="AH71" s="74">
        <f t="shared" si="58"/>
        <v>48.26174874867153</v>
      </c>
      <c r="AI71" s="28"/>
      <c r="BX71"/>
    </row>
    <row r="72" spans="1:76" ht="16.5">
      <c r="A72" s="18">
        <v>31</v>
      </c>
      <c r="B72" s="4">
        <v>-0.7022009474414048</v>
      </c>
      <c r="C72" s="11">
        <v>223.56423801738163</v>
      </c>
      <c r="D72" s="4">
        <v>-1.1280864983109464</v>
      </c>
      <c r="E72" s="4">
        <f t="shared" si="31"/>
        <v>1.3287833977962924</v>
      </c>
      <c r="F72" s="83">
        <f t="shared" si="32"/>
        <v>1.3239706762977228</v>
      </c>
      <c r="G72" s="86">
        <f t="shared" si="33"/>
        <v>421.5210709731447</v>
      </c>
      <c r="H72" s="88">
        <f t="shared" si="34"/>
        <v>2.1269601665066156</v>
      </c>
      <c r="I72" s="88">
        <f t="shared" si="35"/>
        <v>2.505365821911463</v>
      </c>
      <c r="J72" s="57">
        <f t="shared" si="36"/>
        <v>1.2524870198928548</v>
      </c>
      <c r="K72" s="11">
        <f t="shared" si="37"/>
        <v>103.7148106430372</v>
      </c>
      <c r="L72" s="11">
        <f t="shared" si="38"/>
        <v>5401.532250465407</v>
      </c>
      <c r="M72" s="15">
        <f t="shared" si="39"/>
        <v>64.7211505801498</v>
      </c>
      <c r="N72" s="11">
        <f t="shared" si="40"/>
        <v>6034.488824132725</v>
      </c>
      <c r="O72" s="11">
        <f t="shared" si="41"/>
        <v>10235.350857241581</v>
      </c>
      <c r="P72" s="11">
        <f t="shared" si="42"/>
        <v>78.18598160169384</v>
      </c>
      <c r="Q72" s="121">
        <f t="shared" si="43"/>
        <v>21917.993874664593</v>
      </c>
      <c r="R72" s="90">
        <f t="shared" si="59"/>
        <v>0.17290812548582235</v>
      </c>
      <c r="S72" s="28"/>
      <c r="T72" s="79">
        <f t="shared" si="44"/>
        <v>1.8240229262789307</v>
      </c>
      <c r="U72" s="80">
        <f t="shared" si="45"/>
        <v>1.509877302904087</v>
      </c>
      <c r="V72" s="80">
        <f t="shared" si="46"/>
        <v>1.2524870198928548</v>
      </c>
      <c r="W72" s="80">
        <f t="shared" si="47"/>
        <v>1.0927224858657598</v>
      </c>
      <c r="X72" s="81">
        <f t="shared" si="48"/>
        <v>1.0750281662238457</v>
      </c>
      <c r="Y72" s="165">
        <f t="shared" si="49"/>
        <v>12156.793551942685</v>
      </c>
      <c r="Z72" s="165">
        <f t="shared" si="50"/>
        <v>10960.486301473298</v>
      </c>
      <c r="AA72" s="165">
        <f t="shared" si="51"/>
        <v>9872.72328627741</v>
      </c>
      <c r="AB72" s="165">
        <f t="shared" si="52"/>
        <v>9135.890714613566</v>
      </c>
      <c r="AC72" s="165">
        <f t="shared" si="53"/>
        <v>9050.860431900945</v>
      </c>
      <c r="AD72" s="72">
        <f t="shared" si="54"/>
        <v>126.6056410441928</v>
      </c>
      <c r="AE72" s="73">
        <f t="shared" si="55"/>
        <v>91.58245039678266</v>
      </c>
      <c r="AF72" s="73">
        <f t="shared" si="56"/>
        <v>66.98632405734143</v>
      </c>
      <c r="AG72" s="73">
        <f t="shared" si="57"/>
        <v>53.57657510119234</v>
      </c>
      <c r="AH72" s="74">
        <f t="shared" si="58"/>
        <v>52.178917408959904</v>
      </c>
      <c r="AI72" s="28"/>
      <c r="BX72"/>
    </row>
    <row r="73" spans="1:76" ht="16.5">
      <c r="A73" s="18">
        <v>32</v>
      </c>
      <c r="B73" s="4">
        <v>-0.6934456903989243</v>
      </c>
      <c r="C73" s="11">
        <v>218.6426703280376</v>
      </c>
      <c r="D73" s="4">
        <v>-1.1866289424589562</v>
      </c>
      <c r="E73" s="4">
        <f t="shared" si="31"/>
        <v>1.374392655908093</v>
      </c>
      <c r="F73" s="83">
        <f t="shared" si="32"/>
        <v>1.3074630033446604</v>
      </c>
      <c r="G73" s="86">
        <f t="shared" si="33"/>
        <v>412.2416598218951</v>
      </c>
      <c r="H73" s="88">
        <f t="shared" si="34"/>
        <v>2.237339509703429</v>
      </c>
      <c r="I73" s="88">
        <f t="shared" si="35"/>
        <v>2.59136018083072</v>
      </c>
      <c r="J73" s="57">
        <f t="shared" si="36"/>
        <v>1.2954774755733756</v>
      </c>
      <c r="K73" s="11">
        <f t="shared" si="37"/>
        <v>101.14463779567131</v>
      </c>
      <c r="L73" s="11">
        <f t="shared" si="38"/>
        <v>5253.70183125278</v>
      </c>
      <c r="M73" s="15">
        <f t="shared" si="39"/>
        <v>71.61290646341291</v>
      </c>
      <c r="N73" s="11">
        <f t="shared" si="40"/>
        <v>6398.1119902544615</v>
      </c>
      <c r="O73" s="11">
        <f t="shared" si="41"/>
        <v>10405.451519865015</v>
      </c>
      <c r="P73" s="11">
        <f t="shared" si="42"/>
        <v>81.53433588947317</v>
      </c>
      <c r="Q73" s="121">
        <f t="shared" si="43"/>
        <v>22311.557221520812</v>
      </c>
      <c r="R73" s="90">
        <f t="shared" si="59"/>
        <v>0.17601289415005197</v>
      </c>
      <c r="S73" s="28"/>
      <c r="T73" s="79">
        <f t="shared" si="44"/>
        <v>1.835802038102544</v>
      </c>
      <c r="U73" s="80">
        <f t="shared" si="45"/>
        <v>1.5373274468873879</v>
      </c>
      <c r="V73" s="80">
        <f t="shared" si="46"/>
        <v>1.2954774755733756</v>
      </c>
      <c r="W73" s="80">
        <f t="shared" si="47"/>
        <v>1.1466593894419852</v>
      </c>
      <c r="X73" s="81">
        <f t="shared" si="48"/>
        <v>1.1283054887687987</v>
      </c>
      <c r="Y73" s="165">
        <f t="shared" si="49"/>
        <v>12199.26051200014</v>
      </c>
      <c r="Z73" s="165">
        <f t="shared" si="50"/>
        <v>11070.301583865132</v>
      </c>
      <c r="AA73" s="165">
        <f t="shared" si="51"/>
        <v>10062.303083851242</v>
      </c>
      <c r="AB73" s="165">
        <f t="shared" si="52"/>
        <v>9390.683907146984</v>
      </c>
      <c r="AC73" s="165">
        <f t="shared" si="53"/>
        <v>9304.708512461575</v>
      </c>
      <c r="AD73" s="72">
        <f t="shared" si="54"/>
        <v>128.02584778760655</v>
      </c>
      <c r="AE73" s="73">
        <f t="shared" si="55"/>
        <v>94.42347273063588</v>
      </c>
      <c r="AF73" s="73">
        <f t="shared" si="56"/>
        <v>70.8376152509258</v>
      </c>
      <c r="AG73" s="73">
        <f t="shared" si="57"/>
        <v>57.94466967625657</v>
      </c>
      <c r="AH73" s="74">
        <f t="shared" si="58"/>
        <v>56.44007400194108</v>
      </c>
      <c r="AI73" s="28"/>
      <c r="BX73"/>
    </row>
    <row r="74" spans="1:76" ht="16.5">
      <c r="A74" s="18">
        <v>33</v>
      </c>
      <c r="B74" s="4">
        <v>-0.68417335829729</v>
      </c>
      <c r="C74" s="11">
        <v>212.54789818753315</v>
      </c>
      <c r="D74" s="4">
        <v>-1.2484668110260242</v>
      </c>
      <c r="E74" s="4">
        <f t="shared" si="31"/>
        <v>1.4236441136875755</v>
      </c>
      <c r="F74" s="83">
        <f t="shared" si="32"/>
        <v>1.2899804068768135</v>
      </c>
      <c r="G74" s="86">
        <f t="shared" si="33"/>
        <v>400.75022048085435</v>
      </c>
      <c r="H74" s="88">
        <f t="shared" si="34"/>
        <v>2.353932238559555</v>
      </c>
      <c r="I74" s="88">
        <f t="shared" si="35"/>
        <v>2.684221755715438</v>
      </c>
      <c r="J74" s="57">
        <f t="shared" si="36"/>
        <v>1.341901002298579</v>
      </c>
      <c r="K74" s="11">
        <f t="shared" si="37"/>
        <v>98.45783325283317</v>
      </c>
      <c r="L74" s="11">
        <f t="shared" si="38"/>
        <v>5093.904299371824</v>
      </c>
      <c r="M74" s="15">
        <f t="shared" si="39"/>
        <v>79.27119953042207</v>
      </c>
      <c r="N74" s="11">
        <f t="shared" si="40"/>
        <v>6799.534926473241</v>
      </c>
      <c r="O74" s="11">
        <f t="shared" si="41"/>
        <v>10582.838147929418</v>
      </c>
      <c r="P74" s="11">
        <f t="shared" si="42"/>
        <v>85.20313011312881</v>
      </c>
      <c r="Q74" s="121">
        <f t="shared" si="43"/>
        <v>22739.209536670867</v>
      </c>
      <c r="R74" s="90">
        <f t="shared" si="59"/>
        <v>0.17938658613094727</v>
      </c>
      <c r="S74" s="28"/>
      <c r="T74" s="79">
        <f t="shared" si="44"/>
        <v>1.847803840592264</v>
      </c>
      <c r="U74" s="80">
        <f t="shared" si="45"/>
        <v>1.567016540611084</v>
      </c>
      <c r="V74" s="80">
        <f t="shared" si="46"/>
        <v>1.341901002298579</v>
      </c>
      <c r="W74" s="80">
        <f t="shared" si="47"/>
        <v>1.2040977608031358</v>
      </c>
      <c r="X74" s="81">
        <f t="shared" si="48"/>
        <v>1.1844830903614938</v>
      </c>
      <c r="Y74" s="165">
        <f t="shared" si="49"/>
        <v>12242.36656902186</v>
      </c>
      <c r="Z74" s="165">
        <f t="shared" si="50"/>
        <v>11187.855932638598</v>
      </c>
      <c r="AA74" s="165">
        <f t="shared" si="51"/>
        <v>10263.260762058</v>
      </c>
      <c r="AB74" s="165">
        <f t="shared" si="52"/>
        <v>9655.120100918286</v>
      </c>
      <c r="AC74" s="165">
        <f t="shared" si="53"/>
        <v>9565.58737501035</v>
      </c>
      <c r="AD74" s="72">
        <f t="shared" si="54"/>
        <v>129.48085819446425</v>
      </c>
      <c r="AE74" s="73">
        <f t="shared" si="55"/>
        <v>97.54349617835742</v>
      </c>
      <c r="AF74" s="73">
        <f t="shared" si="56"/>
        <v>75.11213433555426</v>
      </c>
      <c r="AG74" s="73">
        <f t="shared" si="57"/>
        <v>62.77460804278087</v>
      </c>
      <c r="AH74" s="74">
        <f t="shared" si="58"/>
        <v>61.10455381448717</v>
      </c>
      <c r="AI74" s="28"/>
      <c r="BX74"/>
    </row>
    <row r="75" spans="1:76" ht="16.5">
      <c r="A75" s="18">
        <v>34</v>
      </c>
      <c r="B75" s="4">
        <v>-0.6739838818223287</v>
      </c>
      <c r="C75" s="11">
        <v>204.83970364331694</v>
      </c>
      <c r="D75" s="4">
        <v>-1.3146950729765248</v>
      </c>
      <c r="E75" s="4">
        <f t="shared" si="31"/>
        <v>1.4773887125144298</v>
      </c>
      <c r="F75" s="83">
        <f t="shared" si="32"/>
        <v>1.2707685728443623</v>
      </c>
      <c r="G75" s="86">
        <f t="shared" si="33"/>
        <v>386.2167403126409</v>
      </c>
      <c r="H75" s="88">
        <f t="shared" si="34"/>
        <v>2.478802871508884</v>
      </c>
      <c r="I75" s="88">
        <f t="shared" si="35"/>
        <v>2.785554961139627</v>
      </c>
      <c r="J75" s="57">
        <f t="shared" si="36"/>
        <v>1.3925596819085293</v>
      </c>
      <c r="K75" s="11">
        <f t="shared" si="37"/>
        <v>95.54698288801856</v>
      </c>
      <c r="L75" s="11">
        <f t="shared" si="38"/>
        <v>4915.2657716598005</v>
      </c>
      <c r="M75" s="15">
        <f t="shared" si="39"/>
        <v>87.90457881172551</v>
      </c>
      <c r="N75" s="11">
        <f t="shared" si="40"/>
        <v>7247.72296779201</v>
      </c>
      <c r="O75" s="11">
        <f t="shared" si="41"/>
        <v>10769.725771198446</v>
      </c>
      <c r="P75" s="11">
        <f t="shared" si="42"/>
        <v>89.26671798533489</v>
      </c>
      <c r="Q75" s="121">
        <f t="shared" si="43"/>
        <v>23205.432790335337</v>
      </c>
      <c r="R75" s="90">
        <f t="shared" si="59"/>
        <v>0.18306455909279792</v>
      </c>
      <c r="S75" s="28"/>
      <c r="T75" s="79">
        <f t="shared" si="44"/>
        <v>1.8597574321777548</v>
      </c>
      <c r="U75" s="80">
        <f t="shared" si="45"/>
        <v>1.5993082759117117</v>
      </c>
      <c r="V75" s="80">
        <f t="shared" si="46"/>
        <v>1.3925596819085293</v>
      </c>
      <c r="W75" s="80">
        <f t="shared" si="47"/>
        <v>1.2660980315018548</v>
      </c>
      <c r="X75" s="81">
        <f t="shared" si="48"/>
        <v>1.2446414079913766</v>
      </c>
      <c r="Y75" s="165">
        <f t="shared" si="49"/>
        <v>12285.136444258856</v>
      </c>
      <c r="Z75" s="165">
        <f t="shared" si="50"/>
        <v>11314.314285764412</v>
      </c>
      <c r="AA75" s="165">
        <f t="shared" si="51"/>
        <v>10478.309241719026</v>
      </c>
      <c r="AB75" s="165">
        <f t="shared" si="52"/>
        <v>9933.11768187327</v>
      </c>
      <c r="AC75" s="165">
        <f t="shared" si="53"/>
        <v>9837.751202376669</v>
      </c>
      <c r="AD75" s="72">
        <f t="shared" si="54"/>
        <v>130.93800390203316</v>
      </c>
      <c r="AE75" s="73">
        <f t="shared" si="55"/>
        <v>100.99280751557285</v>
      </c>
      <c r="AF75" s="73">
        <f t="shared" si="56"/>
        <v>79.91366733002674</v>
      </c>
      <c r="AG75" s="73">
        <f t="shared" si="57"/>
        <v>68.19451985480445</v>
      </c>
      <c r="AH75" s="74">
        <f t="shared" si="58"/>
        <v>66.29459132423722</v>
      </c>
      <c r="AI75" s="28"/>
      <c r="BX75"/>
    </row>
    <row r="76" spans="1:76" ht="16.5">
      <c r="A76" s="18">
        <v>35</v>
      </c>
      <c r="B76" s="4">
        <v>-0.6632441842624921</v>
      </c>
      <c r="C76" s="11">
        <v>195.01696203664585</v>
      </c>
      <c r="D76" s="4">
        <v>-1.3862719757944502</v>
      </c>
      <c r="E76" s="4">
        <f t="shared" si="31"/>
        <v>1.536763755048598</v>
      </c>
      <c r="F76" s="83">
        <f t="shared" si="32"/>
        <v>1.2505193198444344</v>
      </c>
      <c r="G76" s="86">
        <f t="shared" si="33"/>
        <v>367.69636961894105</v>
      </c>
      <c r="H76" s="88">
        <f t="shared" si="34"/>
        <v>2.613758144321377</v>
      </c>
      <c r="I76" s="88">
        <f t="shared" si="35"/>
        <v>2.8975041339591754</v>
      </c>
      <c r="J76" s="57">
        <f t="shared" si="36"/>
        <v>1.4485255151684602</v>
      </c>
      <c r="K76" s="11">
        <f t="shared" si="37"/>
        <v>92.52622797111349</v>
      </c>
      <c r="L76" s="11">
        <f t="shared" si="38"/>
        <v>4721.106729910131</v>
      </c>
      <c r="M76" s="15">
        <f t="shared" si="39"/>
        <v>97.73684470964416</v>
      </c>
      <c r="N76" s="11">
        <f t="shared" si="40"/>
        <v>7754.871500216822</v>
      </c>
      <c r="O76" s="11">
        <f t="shared" si="41"/>
        <v>10969.122318631722</v>
      </c>
      <c r="P76" s="11">
        <f t="shared" si="42"/>
        <v>93.84126316115555</v>
      </c>
      <c r="Q76" s="121">
        <f t="shared" si="43"/>
        <v>23729.20488460059</v>
      </c>
      <c r="R76" s="90">
        <f t="shared" si="59"/>
        <v>0.1871965271697611</v>
      </c>
      <c r="S76" s="28"/>
      <c r="T76" s="79">
        <f t="shared" si="44"/>
        <v>1.8720503806026272</v>
      </c>
      <c r="U76" s="80">
        <f t="shared" si="45"/>
        <v>1.6350660777881503</v>
      </c>
      <c r="V76" s="80">
        <f t="shared" si="46"/>
        <v>1.4485255151684602</v>
      </c>
      <c r="W76" s="80">
        <f t="shared" si="47"/>
        <v>1.3337645577822286</v>
      </c>
      <c r="X76" s="81">
        <f t="shared" si="48"/>
        <v>1.3097886322760013</v>
      </c>
      <c r="Y76" s="165">
        <f t="shared" si="49"/>
        <v>12328.952169019743</v>
      </c>
      <c r="Z76" s="165">
        <f t="shared" si="50"/>
        <v>11452.687656121658</v>
      </c>
      <c r="AA76" s="165">
        <f t="shared" si="51"/>
        <v>10710.996820888555</v>
      </c>
      <c r="AB76" s="165">
        <f t="shared" si="52"/>
        <v>10228.313981418178</v>
      </c>
      <c r="AC76" s="165">
        <f t="shared" si="53"/>
        <v>10124.660965710482</v>
      </c>
      <c r="AD76" s="72">
        <f t="shared" si="54"/>
        <v>132.44482361681992</v>
      </c>
      <c r="AE76" s="73">
        <f t="shared" si="55"/>
        <v>104.8801650716123</v>
      </c>
      <c r="AF76" s="73">
        <f t="shared" si="56"/>
        <v>85.3845197056082</v>
      </c>
      <c r="AG76" s="73">
        <f t="shared" si="57"/>
        <v>74.35427703004585</v>
      </c>
      <c r="AH76" s="74">
        <f t="shared" si="58"/>
        <v>72.14253038169144</v>
      </c>
      <c r="AI76" s="28"/>
      <c r="BX76"/>
    </row>
    <row r="77" spans="1:76" ht="16.5">
      <c r="A77" s="15">
        <f>J25</f>
        <v>36.23820889210402</v>
      </c>
      <c r="B77" s="4">
        <v>-0.6526372462371004</v>
      </c>
      <c r="C77" s="11">
        <v>181.6577317804412</v>
      </c>
      <c r="D77" s="4">
        <v>-1.463643292735403</v>
      </c>
      <c r="E77" s="4">
        <f t="shared" si="31"/>
        <v>1.6025564150897398</v>
      </c>
      <c r="F77" s="83">
        <f t="shared" si="32"/>
        <v>1.2305203794241815</v>
      </c>
      <c r="G77" s="86">
        <f t="shared" si="33"/>
        <v>342.50809668713873</v>
      </c>
      <c r="H77" s="88">
        <f t="shared" si="34"/>
        <v>2.759638543927227</v>
      </c>
      <c r="I77" s="88">
        <f t="shared" si="35"/>
        <v>3.021553457628545</v>
      </c>
      <c r="J77" s="57">
        <f t="shared" si="36"/>
        <v>1.5105404777593658</v>
      </c>
      <c r="K77" s="11">
        <f t="shared" si="37"/>
        <v>89.59043959780958</v>
      </c>
      <c r="L77" s="11">
        <f t="shared" si="38"/>
        <v>4514.305370607905</v>
      </c>
      <c r="M77" s="15">
        <f t="shared" si="39"/>
        <v>108.95117553767064</v>
      </c>
      <c r="N77" s="11">
        <f t="shared" si="40"/>
        <v>8331.170008841527</v>
      </c>
      <c r="O77" s="11">
        <f t="shared" si="41"/>
        <v>11180.845085645798</v>
      </c>
      <c r="P77" s="11">
        <f t="shared" si="42"/>
        <v>98.96712105516397</v>
      </c>
      <c r="Q77" s="121">
        <f t="shared" si="43"/>
        <v>24323.829201285876</v>
      </c>
      <c r="R77" s="90">
        <f>Q77*J$29*(A77-A76)</f>
        <v>0.23759673320793168</v>
      </c>
      <c r="S77" s="28"/>
      <c r="T77" s="79">
        <f t="shared" si="44"/>
        <v>1.8830173673927222</v>
      </c>
      <c r="U77" s="80">
        <f t="shared" si="45"/>
        <v>1.6741313339748902</v>
      </c>
      <c r="V77" s="80">
        <f t="shared" si="46"/>
        <v>1.5105404777593658</v>
      </c>
      <c r="W77" s="80">
        <f t="shared" si="47"/>
        <v>1.408121031929237</v>
      </c>
      <c r="X77" s="81">
        <f t="shared" si="48"/>
        <v>1.3805551927512514</v>
      </c>
      <c r="Y77" s="165">
        <f t="shared" si="49"/>
        <v>12367.898759765909</v>
      </c>
      <c r="Z77" s="165">
        <f t="shared" si="50"/>
        <v>11601.92358643508</v>
      </c>
      <c r="AA77" s="165">
        <f t="shared" si="51"/>
        <v>10963.152318525446</v>
      </c>
      <c r="AB77" s="165">
        <f t="shared" si="52"/>
        <v>10543.512375722406</v>
      </c>
      <c r="AC77" s="165">
        <f t="shared" si="53"/>
        <v>10427.738387780151</v>
      </c>
      <c r="AD77" s="72">
        <f t="shared" si="54"/>
        <v>133.79622118106371</v>
      </c>
      <c r="AE77" s="73">
        <f t="shared" si="55"/>
        <v>109.20854488930748</v>
      </c>
      <c r="AF77" s="73">
        <f t="shared" si="56"/>
        <v>91.65059230538003</v>
      </c>
      <c r="AG77" s="73">
        <f t="shared" si="57"/>
        <v>81.41732087770636</v>
      </c>
      <c r="AH77" s="74">
        <f t="shared" si="58"/>
        <v>78.76292602236228</v>
      </c>
      <c r="AI77" s="28"/>
      <c r="BX77"/>
    </row>
    <row r="78" spans="2:76" ht="6.75" customHeight="1">
      <c r="B78" s="4"/>
      <c r="D78" s="4"/>
      <c r="E78" s="4"/>
      <c r="F78" s="83"/>
      <c r="G78" s="86"/>
      <c r="H78" s="88"/>
      <c r="I78" s="88"/>
      <c r="J78" s="57"/>
      <c r="L78" s="11"/>
      <c r="M78" s="15"/>
      <c r="N78" s="11"/>
      <c r="O78" s="11"/>
      <c r="P78" s="11"/>
      <c r="Q78" s="121"/>
      <c r="R78" s="90"/>
      <c r="S78" s="28"/>
      <c r="T78" s="79"/>
      <c r="U78" s="80"/>
      <c r="V78" s="80"/>
      <c r="W78" s="80"/>
      <c r="X78" s="81"/>
      <c r="Y78" s="165"/>
      <c r="Z78" s="165"/>
      <c r="AA78" s="165"/>
      <c r="AB78" s="165"/>
      <c r="AC78" s="165"/>
      <c r="AD78" s="64"/>
      <c r="AE78" s="65"/>
      <c r="AF78" s="65"/>
      <c r="AG78" s="65"/>
      <c r="AH78" s="66"/>
      <c r="AI78" s="28"/>
      <c r="BX78"/>
    </row>
    <row r="79" spans="1:76" ht="16.5">
      <c r="A79" s="15">
        <f>I26</f>
        <v>41.284249216564326</v>
      </c>
      <c r="B79" s="4">
        <v>-0.6091989960299014</v>
      </c>
      <c r="C79" s="11">
        <v>165.1876539783805</v>
      </c>
      <c r="D79" s="4">
        <v>-0.9962057691997916</v>
      </c>
      <c r="E79" s="4">
        <f aca="true" t="shared" si="60" ref="E79:E93">SQRT(B79^2+D79^2)</f>
        <v>1.1677111592130942</v>
      </c>
      <c r="F79" s="83">
        <f aca="true" t="shared" si="61" ref="F79:F93">-B79*$E$29*(1-$E$33)/$E$30/$E$34</f>
        <v>1.1486193655996253</v>
      </c>
      <c r="G79" s="86">
        <f aca="true" t="shared" si="62" ref="G79:G93">C79*$E$29*(1-$E$33)/$E$30/$E$34</f>
        <v>311.4544501124308</v>
      </c>
      <c r="H79" s="88">
        <f aca="true" t="shared" si="63" ref="H79:H93">-D79*$E$29*(1-$E$33)/$E$30/$E$34</f>
        <v>1.8783045377323433</v>
      </c>
      <c r="I79" s="88">
        <f aca="true" t="shared" si="64" ref="I79:I93">E79*$E$29*(1-$E$33)/$E$30/$E$34</f>
        <v>2.2016708163339036</v>
      </c>
      <c r="J79" s="57">
        <f aca="true" t="shared" si="65" ref="J79:J93">E79*E$29/E$30</f>
        <v>1.1006632625934214</v>
      </c>
      <c r="K79" s="11">
        <f aca="true" t="shared" si="66" ref="K79:K93">L$33*E$14/120*F79^2/E$8*E$7*E$10*(E$10-1)*E$5/E$6</f>
        <v>78.06139614296876</v>
      </c>
      <c r="L79" s="11">
        <f aca="true" t="shared" si="67" ref="L79:L93">L$34*E$14/6*F79^2/E$9*E$7*E$5/E$6*(1+(G79*E$5/F79)^2/15)</f>
        <v>3911.53145259586</v>
      </c>
      <c r="M79" s="15">
        <f aca="true" t="shared" si="68" ref="M79:M93">L$35*E$14/8*H79^2/E$9*E$7*E$6/E$5</f>
        <v>50.473047959002514</v>
      </c>
      <c r="N79" s="11">
        <f aca="true" t="shared" si="69" ref="N79:N93">E$14*E$15*(E$12/E$11)^2*J79*(1-E$33)/E$34^2*(E$20/2/PI())^2/E$19*LN((E$18+E$19*J79)/(E$18+E$19*E$33*J79))</f>
        <v>4815.400534689797</v>
      </c>
      <c r="O79" s="11">
        <f aca="true" t="shared" si="70" ref="O79:O93">(Y79+Z79+AA79+AB79+AC79)/5</f>
        <v>9417.103309769624</v>
      </c>
      <c r="P79" s="11">
        <f aca="true" t="shared" si="71" ref="P79:P93">(AD79+AE79+AF79+AG79+AH79)/5</f>
        <v>60.46894242558991</v>
      </c>
      <c r="Q79" s="121">
        <f aca="true" t="shared" si="72" ref="Q79:Q93">SUM(K79:P79)</f>
        <v>18333.03868358284</v>
      </c>
      <c r="R79" s="90">
        <f>Q79*J$29*(A80-A79)</f>
        <v>0.1035168119167876</v>
      </c>
      <c r="S79" s="28"/>
      <c r="T79" s="79">
        <f aca="true" t="shared" si="73" ref="T79:T93">SQRT(($B79-$C79*0.8*$E$5)^2+$D79^2)*$E$29/$E$30</f>
        <v>1.5081908614075585</v>
      </c>
      <c r="U79" s="80">
        <f aca="true" t="shared" si="74" ref="U79:U93">SQRT(($B79-$C79*0.4*$E$5)^2+$D79^2)*$E$29/$E$30</f>
        <v>1.2850066089014436</v>
      </c>
      <c r="V79" s="80">
        <f aca="true" t="shared" si="75" ref="V79:V93">SQRT(($B79)^2+$D79^2)*$E$29/$E$30</f>
        <v>1.1006632625934214</v>
      </c>
      <c r="W79" s="80">
        <f aca="true" t="shared" si="76" ref="W79:W93">SQRT(($B79+$C79*0.4*$E$5)^2+$D79^2)*$E$29/$E$30</f>
        <v>0.9773906959555603</v>
      </c>
      <c r="X79" s="81">
        <f aca="true" t="shared" si="77" ref="X79:X93">SQRT(($B79+$C79*0.8*$E$5)^2+$D79^2)*$E$29/$E$30</f>
        <v>0.9395428940040399</v>
      </c>
      <c r="Y79" s="165">
        <f aca="true" t="shared" si="78" ref="Y79:Y93">$L$36*$E$14*$E$15*$E$17/$E$34*2/3*$E$21/PI()*($E$22*$E$23*LN((T79+$E$23)/($E$33*T79+$E$23))+$E$24*T79*(1-$E$33)+$E$25*T79^2/2*(1-$E$33^2))</f>
        <v>10953.703753029306</v>
      </c>
      <c r="Z79" s="165">
        <f aca="true" t="shared" si="79" ref="Z79:Z93">$L$36*$E$14*$E$15*$E$17/$E$34*2/3*$E$21/PI()*($E$22*$E$23*LN((U79+$E$23)/($E$33*U79+$E$23))+$E$24*U79*(1-$E$33)+$E$25*U79^2/2*(1-$E$33^2))</f>
        <v>10016.443446660396</v>
      </c>
      <c r="AA79" s="165">
        <f aca="true" t="shared" si="80" ref="AA79:AA93">$L$36*$E$14*$E$15*$E$17/$E$34*2/3*$E$21/PI()*($E$22*$E$23*LN((V79+$E$23)/($E$33*V79+$E$23))+$E$24*V79*(1-$E$33)+$E$25*V79^2/2*(1-$E$33^2))</f>
        <v>9173.813630430277</v>
      </c>
      <c r="AB79" s="165">
        <f aca="true" t="shared" si="81" ref="AB79:AB93">$L$36*$E$14*$E$15*$E$17/$E$34*2/3*$E$21/PI()*($E$22*$E$23*LN((W79+$E$23)/($E$33*W79+$E$23))+$E$24*W79*(1-$E$33)+$E$25*W79^2/2*(1-$E$33^2))</f>
        <v>8567.801673226619</v>
      </c>
      <c r="AC79" s="165">
        <f aca="true" t="shared" si="82" ref="AC79:AC93">$L$36*$E$14*$E$15*$E$17/$E$34*2/3*$E$21/PI()*($E$22*$E$23*LN((X79+$E$23)/($E$33*X79+$E$23))+$E$24*X79*(1-$E$33)+$E$25*X79^2/2*(1-$E$33^2))</f>
        <v>8373.754045501519</v>
      </c>
      <c r="AD79" s="72">
        <f aca="true" t="shared" si="83" ref="AD79:AD93">1/9/PI()*$E$21/$E$34*$E$28^2*T79*(3*T79+4*$E$27)/($E$26*$E$27*$E$14*$E$15*$E$17*16*$E$5^2*$E$6^2)</f>
        <v>91.40927719873142</v>
      </c>
      <c r="AE79" s="73">
        <f aca="true" t="shared" si="84" ref="AE79:AE93">1/9/PI()*$E$21/$E$34*$E$28^2*U79*(3*U79+4*$E$27)/($E$26*$E$27*$E$14*$E$15*$E$17*16*$E$5^2*$E$6^2)</f>
        <v>69.89009557125463</v>
      </c>
      <c r="AF79" s="73">
        <f aca="true" t="shared" si="85" ref="AF79:AF93">1/9/PI()*$E$21/$E$34*$E$28^2*V79*(3*V79+4*$E$27)/($E$26*$E$27*$E$14*$E$15*$E$17*16*$E$5^2*$E$6^2)</f>
        <v>54.20948244527843</v>
      </c>
      <c r="AG79" s="73">
        <f aca="true" t="shared" si="86" ref="AG79:AG93">1/9/PI()*$E$21/$E$34*$E$28^2*W79*(3*W79+4*$E$27)/($E$26*$E$27*$E$14*$E$15*$E$17*16*$E$5^2*$E$6^2)</f>
        <v>44.78043671559838</v>
      </c>
      <c r="AH79" s="74">
        <f aca="true" t="shared" si="87" ref="AH79:AH93">1/9/PI()*$E$21/$E$34*$E$28^2*X79*(3*X79+4*$E$27)/($E$26*$E$27*$E$14*$E$15*$E$17*16*$E$5^2*$E$6^2)</f>
        <v>42.0554201970867</v>
      </c>
      <c r="AI79" s="28"/>
      <c r="BX79"/>
    </row>
    <row r="80" spans="1:76" ht="16.5">
      <c r="A80" s="18">
        <v>42</v>
      </c>
      <c r="B80" s="4">
        <v>-0.6036062565672307</v>
      </c>
      <c r="C80" s="11">
        <v>178.0405812419791</v>
      </c>
      <c r="D80" s="4">
        <v>-1.0020586485015945</v>
      </c>
      <c r="E80" s="4">
        <f t="shared" si="60"/>
        <v>1.1698128260554967</v>
      </c>
      <c r="F80" s="83">
        <f t="shared" si="61"/>
        <v>1.138074487989122</v>
      </c>
      <c r="G80" s="86">
        <f t="shared" si="62"/>
        <v>335.6881098128288</v>
      </c>
      <c r="H80" s="88">
        <f t="shared" si="63"/>
        <v>1.8893398981882528</v>
      </c>
      <c r="I80" s="88">
        <f t="shared" si="64"/>
        <v>2.2056334217402718</v>
      </c>
      <c r="J80" s="57">
        <f t="shared" si="65"/>
        <v>1.1026442554660099</v>
      </c>
      <c r="K80" s="11">
        <f t="shared" si="66"/>
        <v>76.63469301306775</v>
      </c>
      <c r="L80" s="11">
        <f t="shared" si="67"/>
        <v>3913.211565216448</v>
      </c>
      <c r="M80" s="15">
        <f t="shared" si="68"/>
        <v>51.067865750279324</v>
      </c>
      <c r="N80" s="11">
        <f t="shared" si="69"/>
        <v>4830.631689643953</v>
      </c>
      <c r="O80" s="11">
        <f t="shared" si="70"/>
        <v>9469.260369237365</v>
      </c>
      <c r="P80" s="11">
        <f t="shared" si="71"/>
        <v>61.64584253163544</v>
      </c>
      <c r="Q80" s="121">
        <f t="shared" si="72"/>
        <v>18402.452025392748</v>
      </c>
      <c r="R80" s="90">
        <f aca="true" t="shared" si="88" ref="R80:R92">Q80*J$29</f>
        <v>0.14517448550487505</v>
      </c>
      <c r="S80" s="28"/>
      <c r="T80" s="79">
        <f t="shared" si="73"/>
        <v>1.5445513366812287</v>
      </c>
      <c r="U80" s="80">
        <f t="shared" si="74"/>
        <v>1.301568811811641</v>
      </c>
      <c r="V80" s="80">
        <f t="shared" si="75"/>
        <v>1.1026442554660099</v>
      </c>
      <c r="W80" s="80">
        <f t="shared" si="76"/>
        <v>0.9751244937637668</v>
      </c>
      <c r="X80" s="81">
        <f t="shared" si="77"/>
        <v>0.9482677072210783</v>
      </c>
      <c r="Y80" s="165">
        <f t="shared" si="78"/>
        <v>11099.020029796675</v>
      </c>
      <c r="Z80" s="165">
        <f t="shared" si="79"/>
        <v>10088.889889868247</v>
      </c>
      <c r="AA80" s="165">
        <f t="shared" si="80"/>
        <v>9183.25173059789</v>
      </c>
      <c r="AB80" s="165">
        <f t="shared" si="81"/>
        <v>8556.29497574532</v>
      </c>
      <c r="AC80" s="165">
        <f t="shared" si="82"/>
        <v>8418.845220178695</v>
      </c>
      <c r="AD80" s="72">
        <f t="shared" si="83"/>
        <v>95.17810791584327</v>
      </c>
      <c r="AE80" s="73">
        <f t="shared" si="84"/>
        <v>71.3916381122759</v>
      </c>
      <c r="AF80" s="73">
        <f t="shared" si="85"/>
        <v>54.36792216337645</v>
      </c>
      <c r="AG80" s="73">
        <f t="shared" si="86"/>
        <v>44.615024542731966</v>
      </c>
      <c r="AH80" s="74">
        <f t="shared" si="87"/>
        <v>42.676519923949584</v>
      </c>
      <c r="AI80" s="28"/>
      <c r="BX80"/>
    </row>
    <row r="81" spans="1:76" ht="16.5">
      <c r="A81" s="18">
        <v>43</v>
      </c>
      <c r="B81" s="4">
        <v>-0.5973385358568848</v>
      </c>
      <c r="C81" s="11">
        <v>186.95603637908826</v>
      </c>
      <c r="D81" s="4">
        <v>-1.0854266139488287</v>
      </c>
      <c r="E81" s="4">
        <f t="shared" si="60"/>
        <v>1.2389367460399527</v>
      </c>
      <c r="F81" s="83">
        <f t="shared" si="61"/>
        <v>1.1262569613139473</v>
      </c>
      <c r="G81" s="86">
        <f t="shared" si="62"/>
        <v>352.49782960940513</v>
      </c>
      <c r="H81" s="88">
        <f t="shared" si="63"/>
        <v>2.0465267291045555</v>
      </c>
      <c r="I81" s="88">
        <f t="shared" si="64"/>
        <v>2.3359636974592553</v>
      </c>
      <c r="J81" s="57">
        <f t="shared" si="65"/>
        <v>1.167799202982833</v>
      </c>
      <c r="K81" s="11">
        <f t="shared" si="66"/>
        <v>75.05143885991608</v>
      </c>
      <c r="L81" s="11">
        <f t="shared" si="67"/>
        <v>3890.6158535194713</v>
      </c>
      <c r="M81" s="15">
        <f t="shared" si="68"/>
        <v>59.91869673682306</v>
      </c>
      <c r="N81" s="11">
        <f t="shared" si="69"/>
        <v>5341.6887463601515</v>
      </c>
      <c r="O81" s="11">
        <f t="shared" si="70"/>
        <v>9795.21023572124</v>
      </c>
      <c r="P81" s="11">
        <f t="shared" si="71"/>
        <v>67.69257418467257</v>
      </c>
      <c r="Q81" s="121">
        <f t="shared" si="72"/>
        <v>19230.177545382277</v>
      </c>
      <c r="R81" s="90">
        <f t="shared" si="88"/>
        <v>0.15170430154992845</v>
      </c>
      <c r="S81" s="28"/>
      <c r="T81" s="79">
        <f t="shared" si="73"/>
        <v>1.6144585801620703</v>
      </c>
      <c r="U81" s="80">
        <f t="shared" si="74"/>
        <v>1.3665712510651693</v>
      </c>
      <c r="V81" s="80">
        <f t="shared" si="75"/>
        <v>1.167799202982833</v>
      </c>
      <c r="W81" s="80">
        <f t="shared" si="76"/>
        <v>1.0465134924154031</v>
      </c>
      <c r="X81" s="81">
        <f t="shared" si="77"/>
        <v>1.0304482122834961</v>
      </c>
      <c r="Y81" s="165">
        <f t="shared" si="78"/>
        <v>11373.152103528833</v>
      </c>
      <c r="Z81" s="165">
        <f t="shared" si="79"/>
        <v>10368.52680792613</v>
      </c>
      <c r="AA81" s="165">
        <f t="shared" si="80"/>
        <v>9488.80951114089</v>
      </c>
      <c r="AB81" s="165">
        <f t="shared" si="81"/>
        <v>8912.26337321069</v>
      </c>
      <c r="AC81" s="165">
        <f t="shared" si="82"/>
        <v>8833.29938279966</v>
      </c>
      <c r="AD81" s="72">
        <f t="shared" si="83"/>
        <v>102.63115025175738</v>
      </c>
      <c r="AE81" s="73">
        <f t="shared" si="84"/>
        <v>77.43256362955154</v>
      </c>
      <c r="AF81" s="73">
        <f t="shared" si="85"/>
        <v>59.700912385921775</v>
      </c>
      <c r="AG81" s="73">
        <f t="shared" si="86"/>
        <v>49.963289713438364</v>
      </c>
      <c r="AH81" s="74">
        <f t="shared" si="87"/>
        <v>48.7349549426938</v>
      </c>
      <c r="AI81" s="28"/>
      <c r="BX81"/>
    </row>
    <row r="82" spans="1:76" ht="16.5">
      <c r="A82" s="18">
        <v>44</v>
      </c>
      <c r="B82" s="4">
        <v>-0.5899700995025388</v>
      </c>
      <c r="C82" s="11">
        <v>192.78678151772814</v>
      </c>
      <c r="D82" s="4">
        <v>-1.1637762674259693</v>
      </c>
      <c r="E82" s="4">
        <f t="shared" si="60"/>
        <v>1.3047758117511823</v>
      </c>
      <c r="F82" s="83">
        <f t="shared" si="61"/>
        <v>1.112364081079498</v>
      </c>
      <c r="G82" s="86">
        <f t="shared" si="62"/>
        <v>363.4914570214059</v>
      </c>
      <c r="H82" s="88">
        <f t="shared" si="63"/>
        <v>2.1942517415526166</v>
      </c>
      <c r="I82" s="88">
        <f t="shared" si="64"/>
        <v>2.4601005170891956</v>
      </c>
      <c r="J82" s="57">
        <f t="shared" si="65"/>
        <v>1.2298579067128366</v>
      </c>
      <c r="K82" s="11">
        <f t="shared" si="66"/>
        <v>73.21127320954236</v>
      </c>
      <c r="L82" s="11">
        <f t="shared" si="67"/>
        <v>3840.988371862855</v>
      </c>
      <c r="M82" s="15">
        <f t="shared" si="68"/>
        <v>68.88115482796836</v>
      </c>
      <c r="N82" s="11">
        <f t="shared" si="69"/>
        <v>5846.280639060099</v>
      </c>
      <c r="O82" s="11">
        <f t="shared" si="70"/>
        <v>10086.699911172363</v>
      </c>
      <c r="P82" s="11">
        <f t="shared" si="71"/>
        <v>73.46231575169807</v>
      </c>
      <c r="Q82" s="121">
        <f t="shared" si="72"/>
        <v>19989.523665884524</v>
      </c>
      <c r="R82" s="90">
        <f t="shared" si="88"/>
        <v>0.15769468164775044</v>
      </c>
      <c r="S82" s="28"/>
      <c r="T82" s="79">
        <f t="shared" si="73"/>
        <v>1.6731209583335418</v>
      </c>
      <c r="U82" s="80">
        <f t="shared" si="74"/>
        <v>1.4250942675837552</v>
      </c>
      <c r="V82" s="80">
        <f t="shared" si="75"/>
        <v>1.2298579067128366</v>
      </c>
      <c r="W82" s="80">
        <f t="shared" si="76"/>
        <v>1.1154838137897605</v>
      </c>
      <c r="X82" s="81">
        <f t="shared" si="77"/>
        <v>1.1073186875821637</v>
      </c>
      <c r="Y82" s="165">
        <f t="shared" si="78"/>
        <v>11598.088767674863</v>
      </c>
      <c r="Z82" s="165">
        <f t="shared" si="79"/>
        <v>10614.185318113745</v>
      </c>
      <c r="AA82" s="165">
        <f t="shared" si="80"/>
        <v>9771.531379726213</v>
      </c>
      <c r="AB82" s="165">
        <f t="shared" si="81"/>
        <v>9244.207317537755</v>
      </c>
      <c r="AC82" s="165">
        <f t="shared" si="82"/>
        <v>9205.486772809243</v>
      </c>
      <c r="AD82" s="72">
        <f t="shared" si="83"/>
        <v>109.0955250657269</v>
      </c>
      <c r="AE82" s="73">
        <f t="shared" si="84"/>
        <v>83.07279042669671</v>
      </c>
      <c r="AF82" s="73">
        <f t="shared" si="85"/>
        <v>65.00048086772594</v>
      </c>
      <c r="AG82" s="73">
        <f t="shared" si="86"/>
        <v>55.40013239358864</v>
      </c>
      <c r="AH82" s="74">
        <f t="shared" si="87"/>
        <v>54.742650004752086</v>
      </c>
      <c r="AI82" s="28"/>
      <c r="BX82"/>
    </row>
    <row r="83" spans="1:76" ht="16.5">
      <c r="A83" s="18">
        <v>45</v>
      </c>
      <c r="B83" s="4">
        <v>-0.5820132667816189</v>
      </c>
      <c r="C83" s="11">
        <v>196.4470854530454</v>
      </c>
      <c r="D83" s="4">
        <v>-1.239075168627491</v>
      </c>
      <c r="E83" s="4">
        <f t="shared" si="60"/>
        <v>1.3689582594875043</v>
      </c>
      <c r="F83" s="83">
        <f t="shared" si="61"/>
        <v>1.0973618039719424</v>
      </c>
      <c r="G83" s="86">
        <f t="shared" si="62"/>
        <v>370.3928078303943</v>
      </c>
      <c r="H83" s="88">
        <f t="shared" si="63"/>
        <v>2.3362246874899664</v>
      </c>
      <c r="I83" s="88">
        <f t="shared" si="64"/>
        <v>2.58111385243932</v>
      </c>
      <c r="J83" s="57">
        <f t="shared" si="65"/>
        <v>1.2903551125238162</v>
      </c>
      <c r="K83" s="11">
        <f t="shared" si="66"/>
        <v>71.24981241333387</v>
      </c>
      <c r="L83" s="11">
        <f t="shared" si="67"/>
        <v>3774.150444396215</v>
      </c>
      <c r="M83" s="15">
        <f t="shared" si="68"/>
        <v>78.08304372848725</v>
      </c>
      <c r="N83" s="11">
        <f t="shared" si="69"/>
        <v>6354.372879075682</v>
      </c>
      <c r="O83" s="11">
        <f t="shared" si="70"/>
        <v>10355.67596469699</v>
      </c>
      <c r="P83" s="11">
        <f t="shared" si="71"/>
        <v>79.12209983222893</v>
      </c>
      <c r="Q83" s="121">
        <f t="shared" si="72"/>
        <v>20712.654244142937</v>
      </c>
      <c r="R83" s="90">
        <f t="shared" si="88"/>
        <v>0.1633993621711204</v>
      </c>
      <c r="S83" s="28"/>
      <c r="T83" s="79">
        <f t="shared" si="73"/>
        <v>1.7248472156863195</v>
      </c>
      <c r="U83" s="80">
        <f t="shared" si="74"/>
        <v>1.4799375648403243</v>
      </c>
      <c r="V83" s="80">
        <f t="shared" si="75"/>
        <v>1.2903551125238162</v>
      </c>
      <c r="W83" s="80">
        <f t="shared" si="76"/>
        <v>1.1830051898590184</v>
      </c>
      <c r="X83" s="81">
        <f t="shared" si="77"/>
        <v>1.1805380486356953</v>
      </c>
      <c r="Y83" s="165">
        <f t="shared" si="78"/>
        <v>11792.74584551158</v>
      </c>
      <c r="Z83" s="165">
        <f t="shared" si="79"/>
        <v>10839.446188184627</v>
      </c>
      <c r="AA83" s="165">
        <f t="shared" si="80"/>
        <v>10039.893470849589</v>
      </c>
      <c r="AB83" s="165">
        <f t="shared" si="81"/>
        <v>9558.809512519303</v>
      </c>
      <c r="AC83" s="165">
        <f t="shared" si="82"/>
        <v>9547.484806419854</v>
      </c>
      <c r="AD83" s="72">
        <f t="shared" si="83"/>
        <v>114.95469034993769</v>
      </c>
      <c r="AE83" s="73">
        <f t="shared" si="84"/>
        <v>88.53164476978245</v>
      </c>
      <c r="AF83" s="73">
        <f t="shared" si="85"/>
        <v>70.37332376528461</v>
      </c>
      <c r="AG83" s="73">
        <f t="shared" si="86"/>
        <v>60.97958947158183</v>
      </c>
      <c r="AH83" s="74">
        <f t="shared" si="87"/>
        <v>60.771250804558</v>
      </c>
      <c r="AI83" s="28"/>
      <c r="BX83"/>
    </row>
    <row r="84" spans="1:76" ht="16.5">
      <c r="A84" s="18">
        <v>46</v>
      </c>
      <c r="B84" s="4">
        <v>-0.5731696417058778</v>
      </c>
      <c r="C84" s="11">
        <v>198.3951260814957</v>
      </c>
      <c r="D84" s="4">
        <v>-1.3126336149754054</v>
      </c>
      <c r="E84" s="4">
        <f t="shared" si="60"/>
        <v>1.4323164613089683</v>
      </c>
      <c r="F84" s="83">
        <f t="shared" si="61"/>
        <v>1.0806875167680938</v>
      </c>
      <c r="G84" s="86">
        <f t="shared" si="62"/>
        <v>374.06575740088743</v>
      </c>
      <c r="H84" s="88">
        <f t="shared" si="63"/>
        <v>2.474916078200151</v>
      </c>
      <c r="I84" s="88">
        <f t="shared" si="64"/>
        <v>2.7005731064038994</v>
      </c>
      <c r="J84" s="57">
        <f t="shared" si="65"/>
        <v>1.3500753991534817</v>
      </c>
      <c r="K84" s="11">
        <f t="shared" si="66"/>
        <v>69.10099738009967</v>
      </c>
      <c r="L84" s="11">
        <f t="shared" si="67"/>
        <v>3689.131735259444</v>
      </c>
      <c r="M84" s="15">
        <f t="shared" si="68"/>
        <v>87.62912402369962</v>
      </c>
      <c r="N84" s="11">
        <f t="shared" si="69"/>
        <v>6871.14563622854</v>
      </c>
      <c r="O84" s="11">
        <f t="shared" si="70"/>
        <v>10608.734256810145</v>
      </c>
      <c r="P84" s="11">
        <f t="shared" si="71"/>
        <v>84.76308049154224</v>
      </c>
      <c r="Q84" s="121">
        <f t="shared" si="72"/>
        <v>21410.50483019347</v>
      </c>
      <c r="R84" s="90">
        <f t="shared" si="88"/>
        <v>0.16890461221330869</v>
      </c>
      <c r="S84" s="28"/>
      <c r="T84" s="79">
        <f t="shared" si="73"/>
        <v>1.771678240727062</v>
      </c>
      <c r="U84" s="80">
        <f t="shared" si="74"/>
        <v>1.5324307089526232</v>
      </c>
      <c r="V84" s="80">
        <f t="shared" si="75"/>
        <v>1.3500753991534817</v>
      </c>
      <c r="W84" s="80">
        <f t="shared" si="76"/>
        <v>1.2497691409380045</v>
      </c>
      <c r="X84" s="81">
        <f t="shared" si="77"/>
        <v>1.2513999538378988</v>
      </c>
      <c r="Y84" s="165">
        <f t="shared" si="78"/>
        <v>11966.117562878697</v>
      </c>
      <c r="Z84" s="165">
        <f t="shared" si="79"/>
        <v>11050.792083036109</v>
      </c>
      <c r="AA84" s="165">
        <f t="shared" si="80"/>
        <v>10298.255420156585</v>
      </c>
      <c r="AB84" s="165">
        <f t="shared" si="81"/>
        <v>9860.621554968144</v>
      </c>
      <c r="AC84" s="165">
        <f t="shared" si="82"/>
        <v>9867.88466301119</v>
      </c>
      <c r="AD84" s="72">
        <f t="shared" si="83"/>
        <v>120.38798521273493</v>
      </c>
      <c r="AE84" s="73">
        <f t="shared" si="84"/>
        <v>93.91359473692725</v>
      </c>
      <c r="AF84" s="73">
        <f t="shared" si="85"/>
        <v>75.87724231028655</v>
      </c>
      <c r="AG84" s="73">
        <f t="shared" si="86"/>
        <v>66.74630543893635</v>
      </c>
      <c r="AH84" s="74">
        <f t="shared" si="87"/>
        <v>66.89027475882611</v>
      </c>
      <c r="AI84" s="28"/>
      <c r="BX84"/>
    </row>
    <row r="85" spans="1:76" ht="16.5">
      <c r="A85" s="18">
        <v>47</v>
      </c>
      <c r="B85" s="4">
        <v>-0.5638422032320918</v>
      </c>
      <c r="C85" s="11">
        <v>198.77989350058206</v>
      </c>
      <c r="D85" s="4">
        <v>-1.3853539176118572</v>
      </c>
      <c r="E85" s="4">
        <f t="shared" si="60"/>
        <v>1.495701677203091</v>
      </c>
      <c r="F85" s="83">
        <f t="shared" si="61"/>
        <v>1.0631010195278658</v>
      </c>
      <c r="G85" s="86">
        <f t="shared" si="62"/>
        <v>374.7912203640482</v>
      </c>
      <c r="H85" s="88">
        <f t="shared" si="63"/>
        <v>2.612027183807414</v>
      </c>
      <c r="I85" s="88">
        <f t="shared" si="64"/>
        <v>2.8200832942787484</v>
      </c>
      <c r="J85" s="57">
        <f t="shared" si="65"/>
        <v>1.4098211487558303</v>
      </c>
      <c r="K85" s="11">
        <f t="shared" si="66"/>
        <v>66.87027595453941</v>
      </c>
      <c r="L85" s="11">
        <f t="shared" si="67"/>
        <v>3591.2508892963324</v>
      </c>
      <c r="M85" s="15">
        <f t="shared" si="68"/>
        <v>97.6074351848376</v>
      </c>
      <c r="N85" s="11">
        <f t="shared" si="69"/>
        <v>7402.812397727809</v>
      </c>
      <c r="O85" s="11">
        <f t="shared" si="70"/>
        <v>10850.7635922875</v>
      </c>
      <c r="P85" s="11">
        <f t="shared" si="71"/>
        <v>90.46584154229654</v>
      </c>
      <c r="Q85" s="121">
        <f t="shared" si="72"/>
        <v>22099.770431993315</v>
      </c>
      <c r="R85" s="90">
        <f t="shared" si="88"/>
        <v>0.17434213646167662</v>
      </c>
      <c r="S85" s="28"/>
      <c r="T85" s="79">
        <f t="shared" si="73"/>
        <v>1.815074416702975</v>
      </c>
      <c r="U85" s="80">
        <f t="shared" si="74"/>
        <v>1.583698654986546</v>
      </c>
      <c r="V85" s="80">
        <f t="shared" si="75"/>
        <v>1.4098211487558303</v>
      </c>
      <c r="W85" s="80">
        <f t="shared" si="76"/>
        <v>1.3164261708081804</v>
      </c>
      <c r="X85" s="81">
        <f t="shared" si="77"/>
        <v>1.32069981636049</v>
      </c>
      <c r="Y85" s="165">
        <f t="shared" si="78"/>
        <v>12124.424500734161</v>
      </c>
      <c r="Z85" s="165">
        <f t="shared" si="79"/>
        <v>11253.365083478418</v>
      </c>
      <c r="AA85" s="165">
        <f t="shared" si="80"/>
        <v>10550.612159543372</v>
      </c>
      <c r="AB85" s="165">
        <f t="shared" si="81"/>
        <v>10153.458131153368</v>
      </c>
      <c r="AC85" s="165">
        <f t="shared" si="82"/>
        <v>10171.958086528175</v>
      </c>
      <c r="AD85" s="72">
        <f t="shared" si="83"/>
        <v>125.5318887908605</v>
      </c>
      <c r="AE85" s="73">
        <f t="shared" si="84"/>
        <v>99.31817537291946</v>
      </c>
      <c r="AF85" s="73">
        <f t="shared" si="85"/>
        <v>81.58241665237611</v>
      </c>
      <c r="AG85" s="73">
        <f t="shared" si="86"/>
        <v>72.75162717229185</v>
      </c>
      <c r="AH85" s="74">
        <f t="shared" si="87"/>
        <v>73.14509972303485</v>
      </c>
      <c r="AI85" s="28"/>
      <c r="BX85"/>
    </row>
    <row r="86" spans="1:76" ht="16.5">
      <c r="A86" s="18">
        <v>48</v>
      </c>
      <c r="B86" s="4">
        <v>-0.553885694261746</v>
      </c>
      <c r="C86" s="11">
        <v>197.80678894011174</v>
      </c>
      <c r="D86" s="4">
        <v>-1.4583924395940684</v>
      </c>
      <c r="E86" s="4">
        <f t="shared" si="60"/>
        <v>1.5600313683298022</v>
      </c>
      <c r="F86" s="83">
        <f t="shared" si="61"/>
        <v>1.044328436034402</v>
      </c>
      <c r="G86" s="86">
        <f t="shared" si="62"/>
        <v>372.95647219441287</v>
      </c>
      <c r="H86" s="88">
        <f t="shared" si="63"/>
        <v>2.749738278753841</v>
      </c>
      <c r="I86" s="88">
        <f t="shared" si="64"/>
        <v>2.941374250916431</v>
      </c>
      <c r="J86" s="57">
        <f t="shared" si="65"/>
        <v>1.4704571435037674</v>
      </c>
      <c r="K86" s="11">
        <f t="shared" si="66"/>
        <v>64.52949305216848</v>
      </c>
      <c r="L86" s="11">
        <f t="shared" si="67"/>
        <v>3480.4002486375484</v>
      </c>
      <c r="M86" s="15">
        <f t="shared" si="68"/>
        <v>108.17084820195451</v>
      </c>
      <c r="N86" s="11">
        <f t="shared" si="69"/>
        <v>7956.978436616427</v>
      </c>
      <c r="O86" s="11">
        <f t="shared" si="70"/>
        <v>11086.76828167019</v>
      </c>
      <c r="P86" s="11">
        <f t="shared" si="71"/>
        <v>96.33650308353985</v>
      </c>
      <c r="Q86" s="121">
        <f t="shared" si="72"/>
        <v>22793.183811261828</v>
      </c>
      <c r="R86" s="90">
        <f t="shared" si="88"/>
        <v>0.17981238197236174</v>
      </c>
      <c r="S86" s="28"/>
      <c r="T86" s="79">
        <f t="shared" si="73"/>
        <v>1.8564845850570113</v>
      </c>
      <c r="U86" s="80">
        <f t="shared" si="74"/>
        <v>1.6348529218886416</v>
      </c>
      <c r="V86" s="80">
        <f t="shared" si="75"/>
        <v>1.4704571435037674</v>
      </c>
      <c r="W86" s="80">
        <f t="shared" si="76"/>
        <v>1.3838480475018193</v>
      </c>
      <c r="X86" s="81">
        <f t="shared" si="77"/>
        <v>1.38964660949748</v>
      </c>
      <c r="Y86" s="165">
        <f t="shared" si="78"/>
        <v>12273.442320210355</v>
      </c>
      <c r="Z86" s="165">
        <f t="shared" si="79"/>
        <v>11451.867869275395</v>
      </c>
      <c r="AA86" s="165">
        <f t="shared" si="80"/>
        <v>10800.838158689707</v>
      </c>
      <c r="AB86" s="165">
        <f t="shared" si="81"/>
        <v>10441.63377007239</v>
      </c>
      <c r="AC86" s="165">
        <f t="shared" si="82"/>
        <v>10466.059290103112</v>
      </c>
      <c r="AD86" s="72">
        <f t="shared" si="83"/>
        <v>130.53825129989346</v>
      </c>
      <c r="AE86" s="73">
        <f t="shared" si="84"/>
        <v>104.85678099519173</v>
      </c>
      <c r="AF86" s="73">
        <f t="shared" si="85"/>
        <v>87.5760215916583</v>
      </c>
      <c r="AG86" s="73">
        <f t="shared" si="86"/>
        <v>79.07777718306812</v>
      </c>
      <c r="AH86" s="74">
        <f t="shared" si="87"/>
        <v>79.63368434788772</v>
      </c>
      <c r="AI86" s="28"/>
      <c r="BX86"/>
    </row>
    <row r="87" spans="1:76" ht="16.5">
      <c r="A87" s="18">
        <v>49</v>
      </c>
      <c r="B87" s="4">
        <v>-0.5431440402046857</v>
      </c>
      <c r="C87" s="11">
        <v>195.4771629223311</v>
      </c>
      <c r="D87" s="4">
        <v>-1.5324290050316072</v>
      </c>
      <c r="E87" s="4">
        <f t="shared" si="60"/>
        <v>1.6258364320779723</v>
      </c>
      <c r="F87" s="83">
        <f t="shared" si="61"/>
        <v>1.0240754941403454</v>
      </c>
      <c r="G87" s="86">
        <f t="shared" si="62"/>
        <v>368.56405924549813</v>
      </c>
      <c r="H87" s="88">
        <f t="shared" si="63"/>
        <v>2.88933114311875</v>
      </c>
      <c r="I87" s="88">
        <f t="shared" si="64"/>
        <v>3.0654469612594335</v>
      </c>
      <c r="J87" s="57">
        <f t="shared" si="65"/>
        <v>1.5324837976029182</v>
      </c>
      <c r="K87" s="11">
        <f t="shared" si="66"/>
        <v>62.05088693530455</v>
      </c>
      <c r="L87" s="11">
        <f t="shared" si="67"/>
        <v>3355.4593367013354</v>
      </c>
      <c r="M87" s="15">
        <f t="shared" si="68"/>
        <v>119.43239837888045</v>
      </c>
      <c r="N87" s="11">
        <f t="shared" si="69"/>
        <v>8538.618726507895</v>
      </c>
      <c r="O87" s="11">
        <f t="shared" si="70"/>
        <v>11319.376880549924</v>
      </c>
      <c r="P87" s="11">
        <f t="shared" si="71"/>
        <v>102.43948270348862</v>
      </c>
      <c r="Q87" s="121">
        <f t="shared" si="72"/>
        <v>23497.37771177683</v>
      </c>
      <c r="R87" s="90">
        <f t="shared" si="88"/>
        <v>0.18536767357490866</v>
      </c>
      <c r="S87" s="28"/>
      <c r="T87" s="79">
        <f t="shared" si="73"/>
        <v>1.89658163215112</v>
      </c>
      <c r="U87" s="80">
        <f t="shared" si="74"/>
        <v>1.6864759989815625</v>
      </c>
      <c r="V87" s="80">
        <f t="shared" si="75"/>
        <v>1.5324837976029182</v>
      </c>
      <c r="W87" s="80">
        <f t="shared" si="76"/>
        <v>1.4525624846239185</v>
      </c>
      <c r="X87" s="81">
        <f t="shared" si="77"/>
        <v>1.4589362016911185</v>
      </c>
      <c r="Y87" s="165">
        <f t="shared" si="78"/>
        <v>12415.883852882798</v>
      </c>
      <c r="Z87" s="165">
        <f t="shared" si="79"/>
        <v>11648.671255261108</v>
      </c>
      <c r="AA87" s="165">
        <f t="shared" si="80"/>
        <v>11051.003783172599</v>
      </c>
      <c r="AB87" s="165">
        <f t="shared" si="81"/>
        <v>10727.589709221083</v>
      </c>
      <c r="AC87" s="165">
        <f t="shared" si="82"/>
        <v>10753.735802212024</v>
      </c>
      <c r="AD87" s="72">
        <f t="shared" si="83"/>
        <v>135.47693907651177</v>
      </c>
      <c r="AE87" s="73">
        <f t="shared" si="84"/>
        <v>110.59400378378233</v>
      </c>
      <c r="AF87" s="73">
        <f t="shared" si="85"/>
        <v>93.91911548252942</v>
      </c>
      <c r="AG87" s="73">
        <f t="shared" si="86"/>
        <v>85.78589774204887</v>
      </c>
      <c r="AH87" s="74">
        <f t="shared" si="87"/>
        <v>86.42145743257076</v>
      </c>
      <c r="AI87" s="28"/>
      <c r="BX87"/>
    </row>
    <row r="88" spans="1:76" ht="16.5">
      <c r="A88" s="18">
        <v>50</v>
      </c>
      <c r="B88" s="4">
        <v>-0.5318523069431151</v>
      </c>
      <c r="C88" s="11">
        <v>191.67859495808676</v>
      </c>
      <c r="D88" s="4">
        <v>-1.6083404901146503</v>
      </c>
      <c r="E88" s="4">
        <f t="shared" si="60"/>
        <v>1.6939970509251032</v>
      </c>
      <c r="F88" s="83">
        <f t="shared" si="61"/>
        <v>1.0027854007883386</v>
      </c>
      <c r="G88" s="86">
        <f t="shared" si="62"/>
        <v>361.4020173614645</v>
      </c>
      <c r="H88" s="88">
        <f t="shared" si="63"/>
        <v>3.0324590904824893</v>
      </c>
      <c r="I88" s="88">
        <f t="shared" si="64"/>
        <v>3.1939609727553204</v>
      </c>
      <c r="J88" s="57">
        <f t="shared" si="65"/>
        <v>1.596730755019362</v>
      </c>
      <c r="K88" s="11">
        <f t="shared" si="66"/>
        <v>59.49768270346376</v>
      </c>
      <c r="L88" s="11">
        <f t="shared" si="67"/>
        <v>3218.9070694054344</v>
      </c>
      <c r="M88" s="15">
        <f t="shared" si="68"/>
        <v>131.55804698850693</v>
      </c>
      <c r="N88" s="11">
        <f t="shared" si="69"/>
        <v>9156.378383684487</v>
      </c>
      <c r="O88" s="11">
        <f t="shared" si="70"/>
        <v>11551.914884237474</v>
      </c>
      <c r="P88" s="11">
        <f t="shared" si="71"/>
        <v>108.874056912274</v>
      </c>
      <c r="Q88" s="121">
        <f t="shared" si="72"/>
        <v>24227.13012393164</v>
      </c>
      <c r="R88" s="90">
        <f t="shared" si="88"/>
        <v>0.19112459286122618</v>
      </c>
      <c r="S88" s="28"/>
      <c r="T88" s="79">
        <f t="shared" si="73"/>
        <v>1.93624265166465</v>
      </c>
      <c r="U88" s="80">
        <f t="shared" si="74"/>
        <v>1.7394474432908025</v>
      </c>
      <c r="V88" s="80">
        <f t="shared" si="75"/>
        <v>1.596730755019362</v>
      </c>
      <c r="W88" s="80">
        <f t="shared" si="76"/>
        <v>1.5233682070618162</v>
      </c>
      <c r="X88" s="81">
        <f t="shared" si="77"/>
        <v>1.52937313261251</v>
      </c>
      <c r="Y88" s="165">
        <f t="shared" si="78"/>
        <v>12555.030422130378</v>
      </c>
      <c r="Z88" s="165">
        <f t="shared" si="79"/>
        <v>11847.084200977179</v>
      </c>
      <c r="AA88" s="165">
        <f t="shared" si="80"/>
        <v>11304.273144900057</v>
      </c>
      <c r="AB88" s="165">
        <f t="shared" si="81"/>
        <v>11014.594049279682</v>
      </c>
      <c r="AC88" s="165">
        <f t="shared" si="82"/>
        <v>11038.592603900082</v>
      </c>
      <c r="AD88" s="72">
        <f t="shared" si="83"/>
        <v>140.450075972564</v>
      </c>
      <c r="AE88" s="73">
        <f t="shared" si="84"/>
        <v>116.63548212013535</v>
      </c>
      <c r="AF88" s="73">
        <f t="shared" si="85"/>
        <v>100.71534969402315</v>
      </c>
      <c r="AG88" s="73">
        <f t="shared" si="86"/>
        <v>92.97347762239454</v>
      </c>
      <c r="AH88" s="74">
        <f t="shared" si="87"/>
        <v>93.59589915225293</v>
      </c>
      <c r="AI88" s="28"/>
      <c r="BX88"/>
    </row>
    <row r="89" spans="1:76" ht="16.5">
      <c r="A89" s="18">
        <v>51</v>
      </c>
      <c r="B89" s="4">
        <v>-0.5197396600150359</v>
      </c>
      <c r="C89" s="11">
        <v>186.28593034491297</v>
      </c>
      <c r="D89" s="4">
        <v>-1.68723168296781</v>
      </c>
      <c r="E89" s="4">
        <f t="shared" si="60"/>
        <v>1.7654687950238412</v>
      </c>
      <c r="F89" s="83">
        <f t="shared" si="61"/>
        <v>0.9799475088664357</v>
      </c>
      <c r="G89" s="86">
        <f t="shared" si="62"/>
        <v>351.23437255698883</v>
      </c>
      <c r="H89" s="88">
        <f t="shared" si="63"/>
        <v>3.1812051528971197</v>
      </c>
      <c r="I89" s="88">
        <f t="shared" si="64"/>
        <v>3.328717973177169</v>
      </c>
      <c r="J89" s="57">
        <f t="shared" si="65"/>
        <v>1.6640987187681808</v>
      </c>
      <c r="K89" s="11">
        <f t="shared" si="66"/>
        <v>56.81848800834628</v>
      </c>
      <c r="L89" s="11">
        <f t="shared" si="67"/>
        <v>3068.2397722770193</v>
      </c>
      <c r="M89" s="15">
        <f t="shared" si="68"/>
        <v>144.78076622750564</v>
      </c>
      <c r="N89" s="11">
        <f t="shared" si="69"/>
        <v>9820.391871659589</v>
      </c>
      <c r="O89" s="11">
        <f t="shared" si="70"/>
        <v>11787.857434681158</v>
      </c>
      <c r="P89" s="11">
        <f t="shared" si="71"/>
        <v>115.76274176542213</v>
      </c>
      <c r="Q89" s="121">
        <f t="shared" si="72"/>
        <v>24993.85107461904</v>
      </c>
      <c r="R89" s="90">
        <f t="shared" si="88"/>
        <v>0.1971731520091192</v>
      </c>
      <c r="S89" s="28"/>
      <c r="T89" s="79">
        <f t="shared" si="73"/>
        <v>1.9763198769146912</v>
      </c>
      <c r="U89" s="80">
        <f t="shared" si="74"/>
        <v>1.7946518184166254</v>
      </c>
      <c r="V89" s="80">
        <f t="shared" si="75"/>
        <v>1.6640987187681808</v>
      </c>
      <c r="W89" s="80">
        <f t="shared" si="76"/>
        <v>1.5972440155679108</v>
      </c>
      <c r="X89" s="81">
        <f t="shared" si="77"/>
        <v>1.6020820352687655</v>
      </c>
      <c r="Y89" s="165">
        <f t="shared" si="78"/>
        <v>12693.916147628914</v>
      </c>
      <c r="Z89" s="165">
        <f t="shared" si="79"/>
        <v>12050.200868504338</v>
      </c>
      <c r="AA89" s="165">
        <f t="shared" si="80"/>
        <v>11563.787020907012</v>
      </c>
      <c r="AB89" s="165">
        <f t="shared" si="81"/>
        <v>11306.273356294123</v>
      </c>
      <c r="AC89" s="165">
        <f t="shared" si="82"/>
        <v>11325.109780071407</v>
      </c>
      <c r="AD89" s="72">
        <f t="shared" si="83"/>
        <v>145.56445822282012</v>
      </c>
      <c r="AE89" s="73">
        <f t="shared" si="84"/>
        <v>123.0980503143706</v>
      </c>
      <c r="AF89" s="73">
        <f t="shared" si="85"/>
        <v>108.08882695573189</v>
      </c>
      <c r="AG89" s="73">
        <f t="shared" si="86"/>
        <v>100.77057021622005</v>
      </c>
      <c r="AH89" s="74">
        <f t="shared" si="87"/>
        <v>101.29180311796796</v>
      </c>
      <c r="AI89" s="28"/>
      <c r="BX89"/>
    </row>
    <row r="90" spans="1:76" ht="16.5">
      <c r="A90" s="18">
        <v>52</v>
      </c>
      <c r="B90" s="4">
        <v>-0.507115608884023</v>
      </c>
      <c r="C90" s="11">
        <v>179.04529282170077</v>
      </c>
      <c r="D90" s="4">
        <v>-1.7698720892038968</v>
      </c>
      <c r="E90" s="4">
        <f t="shared" si="60"/>
        <v>1.8410902891810548</v>
      </c>
      <c r="F90" s="83">
        <f t="shared" si="61"/>
        <v>0.9561453855932557</v>
      </c>
      <c r="G90" s="86">
        <f t="shared" si="62"/>
        <v>337.5824517024761</v>
      </c>
      <c r="H90" s="88">
        <f t="shared" si="63"/>
        <v>3.337020201185759</v>
      </c>
      <c r="I90" s="88">
        <f t="shared" si="64"/>
        <v>3.4712991547132774</v>
      </c>
      <c r="J90" s="57">
        <f t="shared" si="65"/>
        <v>1.7353781613123098</v>
      </c>
      <c r="K90" s="11">
        <f t="shared" si="66"/>
        <v>54.091859712579314</v>
      </c>
      <c r="L90" s="11">
        <f t="shared" si="67"/>
        <v>2906.397530853031</v>
      </c>
      <c r="M90" s="15">
        <f t="shared" si="68"/>
        <v>159.3107887021708</v>
      </c>
      <c r="N90" s="11">
        <f t="shared" si="69"/>
        <v>10540.537794354343</v>
      </c>
      <c r="O90" s="11">
        <f t="shared" si="70"/>
        <v>12029.785500720402</v>
      </c>
      <c r="P90" s="11">
        <f t="shared" si="71"/>
        <v>123.22447026406685</v>
      </c>
      <c r="Q90" s="121">
        <f t="shared" si="72"/>
        <v>25813.34794460659</v>
      </c>
      <c r="R90" s="90">
        <f t="shared" si="88"/>
        <v>0.20363805333363488</v>
      </c>
      <c r="S90" s="28"/>
      <c r="T90" s="79">
        <f t="shared" si="73"/>
        <v>2.017646141635136</v>
      </c>
      <c r="U90" s="80">
        <f t="shared" si="74"/>
        <v>1.8529326355461817</v>
      </c>
      <c r="V90" s="80">
        <f t="shared" si="75"/>
        <v>1.7353781613123098</v>
      </c>
      <c r="W90" s="80">
        <f t="shared" si="76"/>
        <v>1.674941785710141</v>
      </c>
      <c r="X90" s="81">
        <f t="shared" si="77"/>
        <v>1.6778072654946592</v>
      </c>
      <c r="Y90" s="165">
        <f t="shared" si="78"/>
        <v>12835.361591298446</v>
      </c>
      <c r="Z90" s="165">
        <f t="shared" si="79"/>
        <v>12260.737218779685</v>
      </c>
      <c r="AA90" s="165">
        <f t="shared" si="80"/>
        <v>11831.96575147105</v>
      </c>
      <c r="AB90" s="165">
        <f t="shared" si="81"/>
        <v>11604.9986569551</v>
      </c>
      <c r="AC90" s="165">
        <f t="shared" si="82"/>
        <v>11615.864285097727</v>
      </c>
      <c r="AD90" s="72">
        <f t="shared" si="83"/>
        <v>150.9319846033085</v>
      </c>
      <c r="AE90" s="73">
        <f t="shared" si="84"/>
        <v>130.1050840835638</v>
      </c>
      <c r="AF90" s="73">
        <f t="shared" si="85"/>
        <v>116.1658283661571</v>
      </c>
      <c r="AG90" s="73">
        <f t="shared" si="86"/>
        <v>109.299242506544</v>
      </c>
      <c r="AH90" s="74">
        <f t="shared" si="87"/>
        <v>109.62021176076084</v>
      </c>
      <c r="AI90" s="28"/>
      <c r="BX90"/>
    </row>
    <row r="91" spans="1:76" ht="16.5">
      <c r="A91" s="18">
        <v>53</v>
      </c>
      <c r="B91" s="4">
        <v>-0.4933396757856654</v>
      </c>
      <c r="C91" s="11">
        <v>169.5704965161943</v>
      </c>
      <c r="D91" s="4">
        <v>-1.857988197278325</v>
      </c>
      <c r="E91" s="4">
        <f t="shared" si="60"/>
        <v>1.9223694173935106</v>
      </c>
      <c r="F91" s="83">
        <f t="shared" si="61"/>
        <v>0.9301714367865479</v>
      </c>
      <c r="G91" s="86">
        <f t="shared" si="62"/>
        <v>319.71811740031916</v>
      </c>
      <c r="H91" s="88">
        <f t="shared" si="63"/>
        <v>3.50315945751275</v>
      </c>
      <c r="I91" s="88">
        <f t="shared" si="64"/>
        <v>3.6245475699147027</v>
      </c>
      <c r="J91" s="57">
        <f t="shared" si="65"/>
        <v>1.8119903866329596</v>
      </c>
      <c r="K91" s="11">
        <f t="shared" si="66"/>
        <v>51.19293681777556</v>
      </c>
      <c r="L91" s="11">
        <f t="shared" si="67"/>
        <v>2727.016596200945</v>
      </c>
      <c r="M91" s="15">
        <f t="shared" si="68"/>
        <v>175.568794986031</v>
      </c>
      <c r="N91" s="11">
        <f t="shared" si="69"/>
        <v>11334.109966861875</v>
      </c>
      <c r="O91" s="11">
        <f t="shared" si="70"/>
        <v>12282.325291531126</v>
      </c>
      <c r="P91" s="11">
        <f t="shared" si="71"/>
        <v>131.4662436926432</v>
      </c>
      <c r="Q91" s="121">
        <f t="shared" si="72"/>
        <v>26701.679830090397</v>
      </c>
      <c r="R91" s="90">
        <f t="shared" si="88"/>
        <v>0.2106459848992076</v>
      </c>
      <c r="S91" s="28"/>
      <c r="T91" s="79">
        <f t="shared" si="73"/>
        <v>2.0612691619803374</v>
      </c>
      <c r="U91" s="80">
        <f t="shared" si="74"/>
        <v>1.9155484315505276</v>
      </c>
      <c r="V91" s="80">
        <f t="shared" si="75"/>
        <v>1.8119903866329596</v>
      </c>
      <c r="W91" s="80">
        <f t="shared" si="76"/>
        <v>1.7580616203747963</v>
      </c>
      <c r="X91" s="81">
        <f t="shared" si="77"/>
        <v>1.7583345224869646</v>
      </c>
      <c r="Y91" s="165">
        <f t="shared" si="78"/>
        <v>12982.765780495649</v>
      </c>
      <c r="Z91" s="165">
        <f t="shared" si="79"/>
        <v>12482.640895373077</v>
      </c>
      <c r="AA91" s="165">
        <f t="shared" si="80"/>
        <v>12113.24721388351</v>
      </c>
      <c r="AB91" s="165">
        <f t="shared" si="81"/>
        <v>11915.982789428539</v>
      </c>
      <c r="AC91" s="165">
        <f t="shared" si="82"/>
        <v>11916.989778474855</v>
      </c>
      <c r="AD91" s="72">
        <f t="shared" si="83"/>
        <v>156.70108861276967</v>
      </c>
      <c r="AE91" s="73">
        <f t="shared" si="84"/>
        <v>137.84426776520448</v>
      </c>
      <c r="AF91" s="73">
        <f t="shared" si="85"/>
        <v>125.16286306617017</v>
      </c>
      <c r="AG91" s="73">
        <f t="shared" si="86"/>
        <v>118.79559301631603</v>
      </c>
      <c r="AH91" s="74">
        <f t="shared" si="87"/>
        <v>118.82740600275552</v>
      </c>
      <c r="AI91" s="28"/>
      <c r="BX91"/>
    </row>
    <row r="92" spans="1:76" ht="16.5">
      <c r="A92" s="18">
        <v>54</v>
      </c>
      <c r="B92" s="4">
        <v>-0.4787903408554657</v>
      </c>
      <c r="C92" s="11">
        <v>157.24990032700651</v>
      </c>
      <c r="D92" s="4">
        <v>-1.9528091483623131</v>
      </c>
      <c r="E92" s="4">
        <f t="shared" si="60"/>
        <v>2.010647597274081</v>
      </c>
      <c r="F92" s="83">
        <f t="shared" si="61"/>
        <v>0.902739270997814</v>
      </c>
      <c r="G92" s="86">
        <f t="shared" si="62"/>
        <v>296.4881457968541</v>
      </c>
      <c r="H92" s="88">
        <f t="shared" si="63"/>
        <v>3.6819404164267038</v>
      </c>
      <c r="I92" s="88">
        <f t="shared" si="64"/>
        <v>3.7909924058903246</v>
      </c>
      <c r="J92" s="57">
        <f t="shared" si="65"/>
        <v>1.8951997905309539</v>
      </c>
      <c r="K92" s="11">
        <f t="shared" si="66"/>
        <v>48.21794722164761</v>
      </c>
      <c r="L92" s="11">
        <f t="shared" si="67"/>
        <v>2533.4381237562807</v>
      </c>
      <c r="M92" s="15">
        <f t="shared" si="68"/>
        <v>193.94609002733444</v>
      </c>
      <c r="N92" s="11">
        <f t="shared" si="69"/>
        <v>12218.24303863552</v>
      </c>
      <c r="O92" s="11">
        <f t="shared" si="70"/>
        <v>12549.024829328897</v>
      </c>
      <c r="P92" s="11">
        <f t="shared" si="71"/>
        <v>140.700917178589</v>
      </c>
      <c r="Q92" s="121">
        <f t="shared" si="72"/>
        <v>27683.57094614827</v>
      </c>
      <c r="R92" s="90">
        <f t="shared" si="88"/>
        <v>0.21839199273549031</v>
      </c>
      <c r="S92" s="28"/>
      <c r="T92" s="79">
        <f t="shared" si="73"/>
        <v>2.1083772781594545</v>
      </c>
      <c r="U92" s="80">
        <f t="shared" si="74"/>
        <v>1.98376462845215</v>
      </c>
      <c r="V92" s="80">
        <f t="shared" si="75"/>
        <v>1.8951997905309539</v>
      </c>
      <c r="W92" s="80">
        <f t="shared" si="76"/>
        <v>1.8478731509092003</v>
      </c>
      <c r="X92" s="81">
        <f t="shared" si="77"/>
        <v>1.844960950417507</v>
      </c>
      <c r="Y92" s="165">
        <f t="shared" si="78"/>
        <v>13139.805198437321</v>
      </c>
      <c r="Z92" s="165">
        <f t="shared" si="79"/>
        <v>12719.528340578057</v>
      </c>
      <c r="AA92" s="165">
        <f t="shared" si="80"/>
        <v>12411.004753610221</v>
      </c>
      <c r="AB92" s="165">
        <f t="shared" si="81"/>
        <v>12242.615028617414</v>
      </c>
      <c r="AC92" s="165">
        <f t="shared" si="82"/>
        <v>12232.170825401465</v>
      </c>
      <c r="AD92" s="72">
        <f t="shared" si="83"/>
        <v>163.0502052419207</v>
      </c>
      <c r="AE92" s="73">
        <f t="shared" si="84"/>
        <v>146.52436599809752</v>
      </c>
      <c r="AF92" s="73">
        <f t="shared" si="85"/>
        <v>135.30524902087325</v>
      </c>
      <c r="AG92" s="73">
        <f t="shared" si="86"/>
        <v>129.4892841840511</v>
      </c>
      <c r="AH92" s="74">
        <f t="shared" si="87"/>
        <v>129.13548144800245</v>
      </c>
      <c r="AI92" s="28"/>
      <c r="BX92"/>
    </row>
    <row r="93" spans="1:76" ht="16.5">
      <c r="A93" s="11">
        <f>J26</f>
        <v>55.21613681534294</v>
      </c>
      <c r="B93" s="4">
        <v>-0.4635021370273096</v>
      </c>
      <c r="C93" s="11">
        <v>140.2893426549694</v>
      </c>
      <c r="D93" s="4">
        <v>-2.0562244163677725</v>
      </c>
      <c r="E93" s="4">
        <f t="shared" si="60"/>
        <v>2.1078171366358776</v>
      </c>
      <c r="F93" s="83">
        <f t="shared" si="61"/>
        <v>0.8739139986373973</v>
      </c>
      <c r="G93" s="86">
        <f t="shared" si="62"/>
        <v>264.5097198302511</v>
      </c>
      <c r="H93" s="88">
        <f t="shared" si="63"/>
        <v>3.8769256023903322</v>
      </c>
      <c r="I93" s="88">
        <f t="shared" si="64"/>
        <v>3.974201530305684</v>
      </c>
      <c r="J93" s="57">
        <f t="shared" si="65"/>
        <v>1.986790027872462</v>
      </c>
      <c r="K93" s="11">
        <f t="shared" si="66"/>
        <v>45.18782500886292</v>
      </c>
      <c r="L93" s="11">
        <f t="shared" si="67"/>
        <v>2322.187428082476</v>
      </c>
      <c r="M93" s="15">
        <f t="shared" si="68"/>
        <v>215.03168115202917</v>
      </c>
      <c r="N93" s="11">
        <f t="shared" si="69"/>
        <v>13217.297330954736</v>
      </c>
      <c r="O93" s="11">
        <f t="shared" si="70"/>
        <v>12833.707976177993</v>
      </c>
      <c r="P93" s="11">
        <f t="shared" si="71"/>
        <v>151.18900700112945</v>
      </c>
      <c r="Q93" s="121">
        <f t="shared" si="72"/>
        <v>28784.60124837723</v>
      </c>
      <c r="R93" s="90">
        <f>Q93*J$29*(A93-A92)</f>
        <v>0.2761577621500011</v>
      </c>
      <c r="S93" s="28"/>
      <c r="T93" s="79">
        <f t="shared" si="73"/>
        <v>2.1591431316004006</v>
      </c>
      <c r="U93" s="80">
        <f t="shared" si="74"/>
        <v>2.058737304269952</v>
      </c>
      <c r="V93" s="80">
        <f t="shared" si="75"/>
        <v>1.986790027872462</v>
      </c>
      <c r="W93" s="80">
        <f t="shared" si="76"/>
        <v>1.9464596176955313</v>
      </c>
      <c r="X93" s="81">
        <f t="shared" si="77"/>
        <v>1.9397191996241714</v>
      </c>
      <c r="Y93" s="165">
        <f t="shared" si="78"/>
        <v>13306.61109116704</v>
      </c>
      <c r="Z93" s="165">
        <f t="shared" si="79"/>
        <v>12974.26310352237</v>
      </c>
      <c r="AA93" s="165">
        <f t="shared" si="80"/>
        <v>12729.92002904694</v>
      </c>
      <c r="AB93" s="165">
        <f t="shared" si="81"/>
        <v>12590.599490264141</v>
      </c>
      <c r="AC93" s="165">
        <f t="shared" si="82"/>
        <v>12567.14616688948</v>
      </c>
      <c r="AD93" s="72">
        <f t="shared" si="83"/>
        <v>170.03076840021632</v>
      </c>
      <c r="AE93" s="73">
        <f t="shared" si="84"/>
        <v>156.3633534923552</v>
      </c>
      <c r="AF93" s="73">
        <f t="shared" si="85"/>
        <v>146.9153362384352</v>
      </c>
      <c r="AG93" s="73">
        <f t="shared" si="86"/>
        <v>141.74539356816692</v>
      </c>
      <c r="AH93" s="74">
        <f t="shared" si="87"/>
        <v>140.89018330647355</v>
      </c>
      <c r="AI93" s="28"/>
      <c r="BX93"/>
    </row>
    <row r="94" spans="1:76" ht="6" customHeight="1">
      <c r="A94" s="11"/>
      <c r="B94" s="4"/>
      <c r="D94" s="4"/>
      <c r="E94" s="4"/>
      <c r="F94" s="83"/>
      <c r="G94" s="86"/>
      <c r="H94" s="88"/>
      <c r="I94" s="88"/>
      <c r="J94" s="57"/>
      <c r="L94" s="11"/>
      <c r="M94" s="15"/>
      <c r="N94" s="11"/>
      <c r="O94" s="11"/>
      <c r="P94" s="11"/>
      <c r="Q94" s="121"/>
      <c r="R94" s="90"/>
      <c r="S94" s="28"/>
      <c r="T94" s="79"/>
      <c r="U94" s="80"/>
      <c r="V94" s="80"/>
      <c r="W94" s="80"/>
      <c r="X94" s="81"/>
      <c r="Y94" s="165"/>
      <c r="Z94" s="165"/>
      <c r="AA94" s="165"/>
      <c r="AB94" s="165"/>
      <c r="AC94" s="165"/>
      <c r="AD94" s="64"/>
      <c r="AE94" s="65"/>
      <c r="AF94" s="65"/>
      <c r="AG94" s="65"/>
      <c r="AH94" s="66"/>
      <c r="AI94" s="28"/>
      <c r="BX94"/>
    </row>
    <row r="95" spans="1:76" ht="16.5">
      <c r="A95" s="11">
        <f>I27</f>
        <v>66.20526072708387</v>
      </c>
      <c r="B95" s="4">
        <v>-0.3268494801752908</v>
      </c>
      <c r="C95" s="11">
        <v>103.8678988060364</v>
      </c>
      <c r="D95" s="4">
        <v>-1.4315649793308114</v>
      </c>
      <c r="E95" s="4">
        <f aca="true" t="shared" si="89" ref="E95:E102">SQRT(B95^2+D95^2)</f>
        <v>1.468403511551673</v>
      </c>
      <c r="F95" s="83">
        <f aca="true" t="shared" si="90" ref="F95:F102">-B95*$E$29*(1-$E$33)/$E$30/$E$34</f>
        <v>0.6162610986100228</v>
      </c>
      <c r="G95" s="86">
        <f aca="true" t="shared" si="91" ref="G95:G102">C95*$E$29*(1-$E$33)/$E$30/$E$34</f>
        <v>195.83860250961374</v>
      </c>
      <c r="H95" s="88">
        <f aca="true" t="shared" si="92" ref="H95:H102">-D95*$E$29*(1-$E$33)/$E$30/$E$34</f>
        <v>2.699156218394177</v>
      </c>
      <c r="I95" s="88">
        <f aca="true" t="shared" si="93" ref="I95:I102">E95*$E$29*(1-$E$33)/$E$30/$E$34</f>
        <v>2.768613738490074</v>
      </c>
      <c r="J95" s="57">
        <f aca="true" t="shared" si="94" ref="J95:J102">E95*E$29/E$30</f>
        <v>1.3840903951943475</v>
      </c>
      <c r="K95" s="11">
        <f aca="true" t="shared" si="95" ref="K95:K102">L$33*E$14/120*F95^2/E$8*E$7*E$10*(E$10-1)*E$5/E$6</f>
        <v>22.47054230189383</v>
      </c>
      <c r="L95" s="11">
        <f aca="true" t="shared" si="96" ref="L95:L102">L$34*E$14/6*F95^2/E$9*E$7*E$5/E$6*(1+(G95*E$5/F95)^2/15)</f>
        <v>1169.6810478366742</v>
      </c>
      <c r="M95" s="15">
        <f aca="true" t="shared" si="97" ref="M95:M102">L$35*E$14/8*H95^2/E$9*E$7*E$6/E$5</f>
        <v>104.22779687101118</v>
      </c>
      <c r="N95" s="11">
        <f aca="true" t="shared" si="98" ref="N95:N102">E$14*E$15*(E$12/E$11)^2*J95*(1-E$33)/E$34^2*(E$20/2/PI())^2/E$19*LN((E$18+E$19*J95)/(E$18+E$19*E$33*J95))</f>
        <v>7172.067002654727</v>
      </c>
      <c r="O95" s="11">
        <f aca="true" t="shared" si="99" ref="O95:O102">(Y95+Z95+AA95+AB95+AC95)/5</f>
        <v>10542.976037884006</v>
      </c>
      <c r="P95" s="11">
        <f aca="true" t="shared" si="100" ref="P95:P102">(AD95+AE95+AF95+AG95+AH95)/5</f>
        <v>81.58166073682465</v>
      </c>
      <c r="Q95" s="121">
        <f aca="true" t="shared" si="101" ref="Q95:Q102">SUM(K95:P95)</f>
        <v>19093.00408828514</v>
      </c>
      <c r="R95" s="90">
        <f>Q95*J$29*(A96-A95)</f>
        <v>0.119705344709838</v>
      </c>
      <c r="S95" s="28"/>
      <c r="T95" s="79">
        <f aca="true" t="shared" si="102" ref="T95:T102">SQRT(($B95-$C95*0.8*$E$5)^2+$D95^2)*$E$29/$E$30</f>
        <v>1.5151515819721315</v>
      </c>
      <c r="U95" s="80">
        <f aca="true" t="shared" si="103" ref="U95:U102">SQRT(($B95-$C95*0.4*$E$5)^2+$D95^2)*$E$29/$E$30</f>
        <v>1.4385398694104685</v>
      </c>
      <c r="V95" s="80">
        <f aca="true" t="shared" si="104" ref="V95:V102">SQRT(($B95)^2+$D95^2)*$E$29/$E$30</f>
        <v>1.3840903951943475</v>
      </c>
      <c r="W95" s="80">
        <f aca="true" t="shared" si="105" ref="W95:W102">SQRT(($B95+$C95*0.4*$E$5)^2+$D95^2)*$E$29/$E$30</f>
        <v>1.3544785398484256</v>
      </c>
      <c r="X95" s="81">
        <f aca="true" t="shared" si="106" ref="X95:X102">SQRT(($B95+$C95*0.8*$E$5)^2+$D95^2)*$E$29/$E$30</f>
        <v>1.3513380903406533</v>
      </c>
      <c r="Y95" s="165">
        <f aca="true" t="shared" si="107" ref="Y95:AC102">$L$36*$E$14*$E$15*$E$17/$E$34*2/3*$E$21/PI()*($E$22*$E$23*LN((T95+$E$23)/($E$33*T95+$E$23))+$E$24*T95*(1-$E$33)+$E$25*T95^2/2*(1-$E$33^2))</f>
        <v>10981.671473235901</v>
      </c>
      <c r="Z95" s="165">
        <f t="shared" si="107"/>
        <v>10669.844380843475</v>
      </c>
      <c r="AA95" s="165">
        <f t="shared" si="107"/>
        <v>10442.655733361966</v>
      </c>
      <c r="AB95" s="165">
        <f t="shared" si="107"/>
        <v>10317.057818375342</v>
      </c>
      <c r="AC95" s="165">
        <f t="shared" si="107"/>
        <v>10303.650783603338</v>
      </c>
      <c r="AD95" s="72">
        <f aca="true" t="shared" si="108" ref="AD95:AH102">1/9/PI()*$E$21/$E$34*$E$28^2*T95*(3*T95+4*$E$27)/($E$26*$E$27*$E$14*$E$15*$E$17*16*$E$5^2*$E$6^2)</f>
        <v>92.12506582889402</v>
      </c>
      <c r="AE95" s="73">
        <f t="shared" si="108"/>
        <v>84.39559325667084</v>
      </c>
      <c r="AF95" s="73">
        <f t="shared" si="108"/>
        <v>79.10097349062653</v>
      </c>
      <c r="AG95" s="73">
        <f t="shared" si="108"/>
        <v>76.2909112311152</v>
      </c>
      <c r="AH95" s="74">
        <f t="shared" si="108"/>
        <v>75.9957598768166</v>
      </c>
      <c r="AI95" s="28"/>
      <c r="BX95"/>
    </row>
    <row r="96" spans="1:76" ht="16.5">
      <c r="A96" s="18">
        <v>67</v>
      </c>
      <c r="B96" s="4">
        <v>-0.3163960523853646</v>
      </c>
      <c r="C96" s="11">
        <v>116.97068031077002</v>
      </c>
      <c r="D96" s="4">
        <v>-1.5031113978909254</v>
      </c>
      <c r="E96" s="4">
        <f t="shared" si="89"/>
        <v>1.536050238903225</v>
      </c>
      <c r="F96" s="83">
        <f t="shared" si="90"/>
        <v>0.5965515953530325</v>
      </c>
      <c r="G96" s="86">
        <f t="shared" si="91"/>
        <v>220.54335198825362</v>
      </c>
      <c r="H96" s="88">
        <f t="shared" si="92"/>
        <v>2.8340540144066466</v>
      </c>
      <c r="I96" s="88">
        <f t="shared" si="93"/>
        <v>2.8961588289478666</v>
      </c>
      <c r="J96" s="57">
        <f t="shared" si="94"/>
        <v>1.44785296785033</v>
      </c>
      <c r="K96" s="11">
        <f t="shared" si="95"/>
        <v>21.056203491726436</v>
      </c>
      <c r="L96" s="11">
        <f t="shared" si="96"/>
        <v>1149.297339175815</v>
      </c>
      <c r="M96" s="15">
        <f t="shared" si="97"/>
        <v>114.90627940859433</v>
      </c>
      <c r="N96" s="11">
        <f t="shared" si="98"/>
        <v>7748.703472205145</v>
      </c>
      <c r="O96" s="11">
        <f t="shared" si="99"/>
        <v>10827.817207429962</v>
      </c>
      <c r="P96" s="11">
        <f t="shared" si="100"/>
        <v>88.44098234662492</v>
      </c>
      <c r="Q96" s="121">
        <f t="shared" si="101"/>
        <v>19950.221484057867</v>
      </c>
      <c r="R96" s="90">
        <f aca="true" t="shared" si="109" ref="R96:R101">Q96*J$29</f>
        <v>0.15738463198599717</v>
      </c>
      <c r="S96" s="28"/>
      <c r="T96" s="79">
        <f t="shared" si="102"/>
        <v>1.5925954276236447</v>
      </c>
      <c r="U96" s="80">
        <f t="shared" si="103"/>
        <v>1.5067465960682955</v>
      </c>
      <c r="V96" s="80">
        <f t="shared" si="104"/>
        <v>1.44785296785033</v>
      </c>
      <c r="W96" s="80">
        <f t="shared" si="105"/>
        <v>1.4192740860512387</v>
      </c>
      <c r="X96" s="81">
        <f t="shared" si="106"/>
        <v>1.422837815506078</v>
      </c>
      <c r="Y96" s="165">
        <f t="shared" si="107"/>
        <v>11288.144338312732</v>
      </c>
      <c r="Z96" s="165">
        <f t="shared" si="107"/>
        <v>10947.891860145532</v>
      </c>
      <c r="AA96" s="165">
        <f t="shared" si="107"/>
        <v>10708.230033436643</v>
      </c>
      <c r="AB96" s="165">
        <f t="shared" si="107"/>
        <v>10590.003308191976</v>
      </c>
      <c r="AC96" s="165">
        <f t="shared" si="107"/>
        <v>10604.816497062922</v>
      </c>
      <c r="AD96" s="72">
        <f t="shared" si="108"/>
        <v>100.2709750439042</v>
      </c>
      <c r="AE96" s="73">
        <f t="shared" si="108"/>
        <v>91.26109800262249</v>
      </c>
      <c r="AF96" s="73">
        <f t="shared" si="108"/>
        <v>85.31773956508779</v>
      </c>
      <c r="AG96" s="73">
        <f t="shared" si="108"/>
        <v>82.50331518235593</v>
      </c>
      <c r="AH96" s="74">
        <f t="shared" si="108"/>
        <v>82.85178393915422</v>
      </c>
      <c r="AI96" s="28"/>
      <c r="BX96"/>
    </row>
    <row r="97" spans="1:76" ht="16.5">
      <c r="A97" s="18">
        <v>68</v>
      </c>
      <c r="B97" s="4">
        <v>-0.3060447855019479</v>
      </c>
      <c r="C97" s="11">
        <v>124.38540401609183</v>
      </c>
      <c r="D97" s="4">
        <v>-1.6262178333673354</v>
      </c>
      <c r="E97" s="4">
        <f t="shared" si="89"/>
        <v>1.6547651955171416</v>
      </c>
      <c r="F97" s="83">
        <f t="shared" si="90"/>
        <v>0.577034712235584</v>
      </c>
      <c r="G97" s="86">
        <f t="shared" si="91"/>
        <v>234.5235050975099</v>
      </c>
      <c r="H97" s="88">
        <f t="shared" si="92"/>
        <v>3.066166077525025</v>
      </c>
      <c r="I97" s="88">
        <f t="shared" si="93"/>
        <v>3.1199909413474267</v>
      </c>
      <c r="J97" s="57">
        <f t="shared" si="94"/>
        <v>1.5597515229291081</v>
      </c>
      <c r="K97" s="11">
        <f t="shared" si="95"/>
        <v>19.700984306192908</v>
      </c>
      <c r="L97" s="11">
        <f t="shared" si="96"/>
        <v>1115.1165276888519</v>
      </c>
      <c r="M97" s="15">
        <f t="shared" si="97"/>
        <v>134.49894112868301</v>
      </c>
      <c r="N97" s="11">
        <f t="shared" si="98"/>
        <v>8798.932595065844</v>
      </c>
      <c r="O97" s="11">
        <f t="shared" si="99"/>
        <v>11281.182997402819</v>
      </c>
      <c r="P97" s="11">
        <f t="shared" si="100"/>
        <v>100.26683735301367</v>
      </c>
      <c r="Q97" s="121">
        <f t="shared" si="101"/>
        <v>21449.698882945402</v>
      </c>
      <c r="R97" s="90">
        <f t="shared" si="109"/>
        <v>0.16921380885923726</v>
      </c>
      <c r="S97" s="28"/>
      <c r="T97" s="79">
        <f t="shared" si="102"/>
        <v>1.7042039810455272</v>
      </c>
      <c r="U97" s="80">
        <f t="shared" si="103"/>
        <v>1.6175639071918972</v>
      </c>
      <c r="V97" s="80">
        <f t="shared" si="104"/>
        <v>1.5597515229291081</v>
      </c>
      <c r="W97" s="80">
        <f t="shared" si="105"/>
        <v>1.5340295522905318</v>
      </c>
      <c r="X97" s="81">
        <f t="shared" si="106"/>
        <v>1.5420047198089146</v>
      </c>
      <c r="Y97" s="165">
        <f t="shared" si="107"/>
        <v>11715.465537871301</v>
      </c>
      <c r="Z97" s="165">
        <f t="shared" si="107"/>
        <v>11385.17364640651</v>
      </c>
      <c r="AA97" s="165">
        <f t="shared" si="107"/>
        <v>11159.205311745643</v>
      </c>
      <c r="AB97" s="165">
        <f t="shared" si="107"/>
        <v>11057.165964271146</v>
      </c>
      <c r="AC97" s="165">
        <f t="shared" si="107"/>
        <v>11088.904526719496</v>
      </c>
      <c r="AD97" s="72">
        <f t="shared" si="108"/>
        <v>112.59849692889931</v>
      </c>
      <c r="AE97" s="73">
        <f t="shared" si="108"/>
        <v>102.96853784729116</v>
      </c>
      <c r="AF97" s="73">
        <f t="shared" si="108"/>
        <v>96.77547632029642</v>
      </c>
      <c r="AG97" s="73">
        <f t="shared" si="108"/>
        <v>94.07992904110043</v>
      </c>
      <c r="AH97" s="74">
        <f t="shared" si="108"/>
        <v>94.91174662748108</v>
      </c>
      <c r="AI97" s="28"/>
      <c r="BX97"/>
    </row>
    <row r="98" spans="1:76" ht="16.5">
      <c r="A98" s="18">
        <v>69</v>
      </c>
      <c r="B98" s="4">
        <v>-0.29536781640040477</v>
      </c>
      <c r="C98" s="11">
        <v>126.9506343646594</v>
      </c>
      <c r="D98" s="4">
        <v>-1.7448986966969309</v>
      </c>
      <c r="E98" s="4">
        <f t="shared" si="89"/>
        <v>1.7697213364537907</v>
      </c>
      <c r="F98" s="83">
        <f t="shared" si="90"/>
        <v>0.556903731134395</v>
      </c>
      <c r="G98" s="86">
        <f t="shared" si="91"/>
        <v>239.36014021147184</v>
      </c>
      <c r="H98" s="88">
        <f t="shared" si="92"/>
        <v>3.2899339084552075</v>
      </c>
      <c r="I98" s="88">
        <f t="shared" si="93"/>
        <v>3.3367359631464355</v>
      </c>
      <c r="J98" s="57">
        <f t="shared" si="94"/>
        <v>1.6681070868373498</v>
      </c>
      <c r="K98" s="11">
        <f t="shared" si="95"/>
        <v>18.350347854613453</v>
      </c>
      <c r="L98" s="11">
        <f t="shared" si="96"/>
        <v>1064.0813137452672</v>
      </c>
      <c r="M98" s="15">
        <f t="shared" si="97"/>
        <v>154.846667496148</v>
      </c>
      <c r="N98" s="11">
        <f t="shared" si="98"/>
        <v>9860.414241611605</v>
      </c>
      <c r="O98" s="11">
        <f t="shared" si="99"/>
        <v>11694.7229432538</v>
      </c>
      <c r="P98" s="11">
        <f t="shared" si="100"/>
        <v>112.13669423262641</v>
      </c>
      <c r="Q98" s="121">
        <f t="shared" si="101"/>
        <v>22904.55220819406</v>
      </c>
      <c r="R98" s="90">
        <f t="shared" si="109"/>
        <v>0.18069095237720945</v>
      </c>
      <c r="S98" s="28"/>
      <c r="T98" s="79">
        <f t="shared" si="102"/>
        <v>1.8052146646219902</v>
      </c>
      <c r="U98" s="80">
        <f t="shared" si="103"/>
        <v>1.7223432803988024</v>
      </c>
      <c r="V98" s="80">
        <f t="shared" si="104"/>
        <v>1.6681070868373498</v>
      </c>
      <c r="W98" s="80">
        <f t="shared" si="105"/>
        <v>1.6453402742996748</v>
      </c>
      <c r="X98" s="81">
        <f t="shared" si="106"/>
        <v>1.6553417987719417</v>
      </c>
      <c r="Y98" s="165">
        <f t="shared" si="107"/>
        <v>12088.651345035047</v>
      </c>
      <c r="Z98" s="165">
        <f t="shared" si="107"/>
        <v>11783.400375376046</v>
      </c>
      <c r="AA98" s="165">
        <f t="shared" si="107"/>
        <v>11579.039461478018</v>
      </c>
      <c r="AB98" s="165">
        <f t="shared" si="107"/>
        <v>11492.130452582773</v>
      </c>
      <c r="AC98" s="165">
        <f t="shared" si="107"/>
        <v>11530.393081797123</v>
      </c>
      <c r="AD98" s="72">
        <f t="shared" si="108"/>
        <v>124.35396239684253</v>
      </c>
      <c r="AE98" s="73">
        <f t="shared" si="108"/>
        <v>114.66762850821843</v>
      </c>
      <c r="AF98" s="73">
        <f t="shared" si="108"/>
        <v>108.5355190908059</v>
      </c>
      <c r="AG98" s="73">
        <f t="shared" si="108"/>
        <v>106.01028930202786</v>
      </c>
      <c r="AH98" s="74">
        <f t="shared" si="108"/>
        <v>107.11607186523732</v>
      </c>
      <c r="AI98" s="28"/>
      <c r="BX98"/>
    </row>
    <row r="99" spans="1:76" ht="16.5">
      <c r="A99" s="18">
        <v>70</v>
      </c>
      <c r="B99" s="4">
        <v>-0.2833675986125561</v>
      </c>
      <c r="C99" s="11">
        <v>125.64999275201042</v>
      </c>
      <c r="D99" s="4">
        <v>-1.8630264814476016</v>
      </c>
      <c r="E99" s="4">
        <f t="shared" si="89"/>
        <v>1.8844534662650807</v>
      </c>
      <c r="F99" s="83">
        <f t="shared" si="90"/>
        <v>0.5342778196795778</v>
      </c>
      <c r="G99" s="86">
        <f t="shared" si="91"/>
        <v>236.90783455481576</v>
      </c>
      <c r="H99" s="88">
        <f t="shared" si="92"/>
        <v>3.5126589327317492</v>
      </c>
      <c r="I99" s="88">
        <f t="shared" si="93"/>
        <v>3.5530586212869775</v>
      </c>
      <c r="J99" s="57">
        <f t="shared" si="94"/>
        <v>1.7762515019403842</v>
      </c>
      <c r="K99" s="11">
        <f t="shared" si="95"/>
        <v>16.88956001851971</v>
      </c>
      <c r="L99" s="11">
        <f t="shared" si="96"/>
        <v>993.596961740244</v>
      </c>
      <c r="M99" s="15">
        <f t="shared" si="97"/>
        <v>176.52226155214058</v>
      </c>
      <c r="N99" s="11">
        <f t="shared" si="98"/>
        <v>10961.434921199894</v>
      </c>
      <c r="O99" s="11">
        <f t="shared" si="99"/>
        <v>12086.647267267786</v>
      </c>
      <c r="P99" s="11">
        <f t="shared" si="100"/>
        <v>124.4220427200454</v>
      </c>
      <c r="Q99" s="121">
        <f t="shared" si="101"/>
        <v>24359.51301449863</v>
      </c>
      <c r="R99" s="90">
        <f t="shared" si="109"/>
        <v>0.1921689437988725</v>
      </c>
      <c r="S99" s="28"/>
      <c r="T99" s="79">
        <f t="shared" si="102"/>
        <v>1.9009949906352326</v>
      </c>
      <c r="U99" s="80">
        <f t="shared" si="103"/>
        <v>1.8251867913437494</v>
      </c>
      <c r="V99" s="80">
        <f t="shared" si="104"/>
        <v>1.7762515019403842</v>
      </c>
      <c r="W99" s="80">
        <f t="shared" si="105"/>
        <v>1.7564366424581297</v>
      </c>
      <c r="X99" s="81">
        <f t="shared" si="106"/>
        <v>1.7667222944673677</v>
      </c>
      <c r="Y99" s="165">
        <f t="shared" si="107"/>
        <v>12431.452730451423</v>
      </c>
      <c r="Z99" s="165">
        <f t="shared" si="107"/>
        <v>12160.996732026435</v>
      </c>
      <c r="AA99" s="165">
        <f t="shared" si="107"/>
        <v>11982.905809499482</v>
      </c>
      <c r="AB99" s="165">
        <f t="shared" si="107"/>
        <v>11909.984872071662</v>
      </c>
      <c r="AC99" s="165">
        <f t="shared" si="107"/>
        <v>11947.896192289922</v>
      </c>
      <c r="AD99" s="72">
        <f t="shared" si="108"/>
        <v>136.0259995971508</v>
      </c>
      <c r="AE99" s="73">
        <f t="shared" si="108"/>
        <v>126.74562387996181</v>
      </c>
      <c r="AF99" s="73">
        <f t="shared" si="108"/>
        <v>120.92512232309636</v>
      </c>
      <c r="AG99" s="73">
        <f t="shared" si="108"/>
        <v>118.6062505978507</v>
      </c>
      <c r="AH99" s="74">
        <f t="shared" si="108"/>
        <v>119.80721720216728</v>
      </c>
      <c r="AI99" s="28"/>
      <c r="BX99"/>
    </row>
    <row r="100" spans="1:76" ht="16.5">
      <c r="A100" s="18">
        <v>71</v>
      </c>
      <c r="B100" s="4">
        <v>-0.2699889150048618</v>
      </c>
      <c r="C100" s="11">
        <v>120.61920848467275</v>
      </c>
      <c r="D100" s="4">
        <v>-1.9834856507491039</v>
      </c>
      <c r="E100" s="4">
        <f t="shared" si="89"/>
        <v>2.0017765462091663</v>
      </c>
      <c r="F100" s="83">
        <f t="shared" si="90"/>
        <v>0.5090528682627607</v>
      </c>
      <c r="G100" s="86">
        <f t="shared" si="91"/>
        <v>227.42250008894226</v>
      </c>
      <c r="H100" s="88">
        <f t="shared" si="92"/>
        <v>3.739779685598122</v>
      </c>
      <c r="I100" s="88">
        <f t="shared" si="93"/>
        <v>3.7742664081247534</v>
      </c>
      <c r="J100" s="57">
        <f t="shared" si="94"/>
        <v>1.8868380994306293</v>
      </c>
      <c r="K100" s="11">
        <f t="shared" si="95"/>
        <v>15.332388806198797</v>
      </c>
      <c r="L100" s="11">
        <f t="shared" si="96"/>
        <v>905.2188599646714</v>
      </c>
      <c r="M100" s="15">
        <f t="shared" si="97"/>
        <v>200.08731326596288</v>
      </c>
      <c r="N100" s="11">
        <f t="shared" si="98"/>
        <v>12128.372019357203</v>
      </c>
      <c r="O100" s="11">
        <f t="shared" si="99"/>
        <v>12469.174954419412</v>
      </c>
      <c r="P100" s="11">
        <f t="shared" si="100"/>
        <v>137.4651847480972</v>
      </c>
      <c r="Q100" s="121">
        <f t="shared" si="101"/>
        <v>25855.650720561545</v>
      </c>
      <c r="R100" s="90">
        <f t="shared" si="109"/>
        <v>0.20397177428159413</v>
      </c>
      <c r="S100" s="28"/>
      <c r="T100" s="79">
        <f t="shared" si="102"/>
        <v>1.995288934609991</v>
      </c>
      <c r="U100" s="80">
        <f t="shared" si="103"/>
        <v>1.9291753475469149</v>
      </c>
      <c r="V100" s="80">
        <f t="shared" si="104"/>
        <v>1.8868380994306293</v>
      </c>
      <c r="W100" s="80">
        <f t="shared" si="105"/>
        <v>1.8698928868300881</v>
      </c>
      <c r="X100" s="81">
        <f t="shared" si="106"/>
        <v>1.8790267975329875</v>
      </c>
      <c r="Y100" s="165">
        <f t="shared" si="107"/>
        <v>12759.061068568823</v>
      </c>
      <c r="Z100" s="165">
        <f t="shared" si="107"/>
        <v>12530.360758535257</v>
      </c>
      <c r="AA100" s="165">
        <f t="shared" si="107"/>
        <v>12381.435667925205</v>
      </c>
      <c r="AB100" s="165">
        <f t="shared" si="107"/>
        <v>12321.27451318604</v>
      </c>
      <c r="AC100" s="165">
        <f t="shared" si="107"/>
        <v>12353.742763881728</v>
      </c>
      <c r="AD100" s="72">
        <f t="shared" si="108"/>
        <v>148.0163734685584</v>
      </c>
      <c r="AE100" s="73">
        <f t="shared" si="108"/>
        <v>139.55747993953761</v>
      </c>
      <c r="AF100" s="73">
        <f t="shared" si="108"/>
        <v>134.2686021474878</v>
      </c>
      <c r="AG100" s="73">
        <f t="shared" si="108"/>
        <v>132.179757397642</v>
      </c>
      <c r="AH100" s="74">
        <f t="shared" si="108"/>
        <v>133.30371078726014</v>
      </c>
      <c r="AI100" s="28"/>
      <c r="BX100"/>
    </row>
    <row r="101" spans="1:77" ht="16.5">
      <c r="A101" s="18">
        <v>72</v>
      </c>
      <c r="B101" s="4">
        <v>-0.25583793143957845</v>
      </c>
      <c r="C101" s="11">
        <v>111.28668841819632</v>
      </c>
      <c r="D101" s="4">
        <v>-2.108555433516901</v>
      </c>
      <c r="E101" s="4">
        <f t="shared" si="89"/>
        <v>2.1240195534356383</v>
      </c>
      <c r="F101" s="83">
        <f t="shared" si="90"/>
        <v>0.48237177740198617</v>
      </c>
      <c r="G101" s="86">
        <f t="shared" si="91"/>
        <v>209.82642171708002</v>
      </c>
      <c r="H101" s="88">
        <f t="shared" si="92"/>
        <v>3.9755935583632356</v>
      </c>
      <c r="I101" s="88">
        <f t="shared" si="93"/>
        <v>4.004750513194699</v>
      </c>
      <c r="J101" s="57">
        <f t="shared" si="94"/>
        <v>2.002062130734561</v>
      </c>
      <c r="K101" s="11">
        <f t="shared" si="95"/>
        <v>13.767269896172275</v>
      </c>
      <c r="L101" s="11">
        <f t="shared" si="96"/>
        <v>802.6948678243477</v>
      </c>
      <c r="M101" s="15">
        <f t="shared" si="97"/>
        <v>226.11609296139838</v>
      </c>
      <c r="N101" s="11">
        <f t="shared" si="98"/>
        <v>13386.455846582487</v>
      </c>
      <c r="O101" s="11">
        <f t="shared" si="99"/>
        <v>12850.804278998232</v>
      </c>
      <c r="P101" s="11">
        <f t="shared" si="100"/>
        <v>151.5971538758263</v>
      </c>
      <c r="Q101" s="121">
        <f t="shared" si="101"/>
        <v>27431.435510138464</v>
      </c>
      <c r="R101" s="90">
        <f t="shared" si="109"/>
        <v>0.21640292996549843</v>
      </c>
      <c r="S101" s="28"/>
      <c r="T101" s="79">
        <f t="shared" si="102"/>
        <v>2.090891959077487</v>
      </c>
      <c r="U101" s="80">
        <f t="shared" si="103"/>
        <v>2.036755325734641</v>
      </c>
      <c r="V101" s="80">
        <f t="shared" si="104"/>
        <v>2.002062130734561</v>
      </c>
      <c r="W101" s="80">
        <f t="shared" si="105"/>
        <v>1.9878306617450725</v>
      </c>
      <c r="X101" s="81">
        <f t="shared" si="106"/>
        <v>1.994498972239833</v>
      </c>
      <c r="Y101" s="165">
        <f t="shared" si="107"/>
        <v>13081.772253983003</v>
      </c>
      <c r="Z101" s="165">
        <f t="shared" si="107"/>
        <v>12900.170141544188</v>
      </c>
      <c r="AA101" s="165">
        <f t="shared" si="107"/>
        <v>12782.231177918606</v>
      </c>
      <c r="AB101" s="165">
        <f t="shared" si="107"/>
        <v>12733.49220198179</v>
      </c>
      <c r="AC101" s="165">
        <f t="shared" si="107"/>
        <v>12756.355619563565</v>
      </c>
      <c r="AD101" s="72">
        <f t="shared" si="108"/>
        <v>160.6791421865876</v>
      </c>
      <c r="AE101" s="73">
        <f t="shared" si="108"/>
        <v>153.4461020994806</v>
      </c>
      <c r="AF101" s="73">
        <f t="shared" si="108"/>
        <v>148.89672677932</v>
      </c>
      <c r="AG101" s="73">
        <f t="shared" si="108"/>
        <v>147.04993453807572</v>
      </c>
      <c r="AH101" s="74">
        <f t="shared" si="108"/>
        <v>147.91386377566755</v>
      </c>
      <c r="AI101" s="28"/>
      <c r="BX101"/>
      <c r="BY101"/>
    </row>
    <row r="102" spans="1:77" ht="16.5">
      <c r="A102" s="53">
        <f>J27</f>
        <v>73.17120452647318</v>
      </c>
      <c r="B102" s="68">
        <v>-0.24045827362357386</v>
      </c>
      <c r="C102" s="53">
        <v>96.65180988093557</v>
      </c>
      <c r="D102" s="68">
        <v>-2.240046943380341</v>
      </c>
      <c r="E102" s="68">
        <f t="shared" si="89"/>
        <v>2.252915997080592</v>
      </c>
      <c r="F102" s="84">
        <f t="shared" si="90"/>
        <v>0.45337407235177724</v>
      </c>
      <c r="G102" s="53">
        <f t="shared" si="91"/>
        <v>182.23296701566923</v>
      </c>
      <c r="H102" s="68">
        <f t="shared" si="92"/>
        <v>4.223515330436655</v>
      </c>
      <c r="I102" s="68">
        <f t="shared" si="93"/>
        <v>4.247779395862535</v>
      </c>
      <c r="J102" s="58">
        <f t="shared" si="94"/>
        <v>2.123557569978757</v>
      </c>
      <c r="K102" s="89">
        <f t="shared" si="95"/>
        <v>12.161787367374139</v>
      </c>
      <c r="L102" s="53">
        <f t="shared" si="96"/>
        <v>685.2617234996906</v>
      </c>
      <c r="M102" s="67">
        <f t="shared" si="97"/>
        <v>255.1970595749397</v>
      </c>
      <c r="N102" s="53">
        <f t="shared" si="98"/>
        <v>14757.61903519957</v>
      </c>
      <c r="O102" s="53">
        <f t="shared" si="99"/>
        <v>13237.392022547949</v>
      </c>
      <c r="P102" s="124">
        <f t="shared" si="100"/>
        <v>167.14462829091798</v>
      </c>
      <c r="Q102" s="122">
        <f t="shared" si="101"/>
        <v>29114.77625648044</v>
      </c>
      <c r="R102" s="91">
        <f>Q102*J$29*(A102-A101)</f>
        <v>0.2690052776093382</v>
      </c>
      <c r="S102" s="52"/>
      <c r="T102" s="95">
        <f t="shared" si="102"/>
        <v>2.1899644350225995</v>
      </c>
      <c r="U102" s="96">
        <f t="shared" si="103"/>
        <v>2.1497187110435045</v>
      </c>
      <c r="V102" s="96">
        <f t="shared" si="104"/>
        <v>2.123557569978757</v>
      </c>
      <c r="W102" s="96">
        <f t="shared" si="105"/>
        <v>2.1120044687155533</v>
      </c>
      <c r="X102" s="97">
        <f t="shared" si="106"/>
        <v>2.11529877445048</v>
      </c>
      <c r="Y102" s="166">
        <f t="shared" si="107"/>
        <v>13406.682082671463</v>
      </c>
      <c r="Z102" s="166">
        <f t="shared" si="107"/>
        <v>13275.83183347913</v>
      </c>
      <c r="AA102" s="166">
        <f t="shared" si="107"/>
        <v>13189.945433915284</v>
      </c>
      <c r="AB102" s="166">
        <f t="shared" si="107"/>
        <v>13151.806156514413</v>
      </c>
      <c r="AC102" s="166">
        <f t="shared" si="107"/>
        <v>13162.694606159444</v>
      </c>
      <c r="AD102" s="75">
        <f t="shared" si="108"/>
        <v>174.33893152140917</v>
      </c>
      <c r="AE102" s="76">
        <f t="shared" si="108"/>
        <v>168.72400478210758</v>
      </c>
      <c r="AF102" s="76">
        <f t="shared" si="108"/>
        <v>165.12251842850915</v>
      </c>
      <c r="AG102" s="76">
        <f t="shared" si="108"/>
        <v>163.54419753242576</v>
      </c>
      <c r="AH102" s="77">
        <f t="shared" si="108"/>
        <v>163.9934891901384</v>
      </c>
      <c r="AI102" s="28"/>
      <c r="BX102"/>
      <c r="BY102"/>
    </row>
    <row r="103" spans="2:34" ht="8.25" customHeight="1">
      <c r="B103" s="15"/>
      <c r="D103" s="2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R103" s="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28"/>
      <c r="AE103" s="28"/>
      <c r="AF103" s="28"/>
      <c r="AG103" s="28"/>
      <c r="AH103" s="28"/>
    </row>
    <row r="104" spans="1:76" ht="16.5">
      <c r="A104" s="5"/>
      <c r="B104" s="15"/>
      <c r="D104" s="2"/>
      <c r="E104" s="33"/>
      <c r="F104" s="33"/>
      <c r="G104" s="33"/>
      <c r="H104" s="33"/>
      <c r="I104" s="33"/>
      <c r="J104" s="102" t="s">
        <v>155</v>
      </c>
      <c r="K104" s="18">
        <f>SUM(K40:K102)</f>
        <v>5643.524123331257</v>
      </c>
      <c r="L104" s="18">
        <f aca="true" t="shared" si="110" ref="L104:R104">SUM(L40:L102)</f>
        <v>292617.5771637036</v>
      </c>
      <c r="M104" s="18">
        <f t="shared" si="110"/>
        <v>4159.3080975648</v>
      </c>
      <c r="N104" s="18">
        <f t="shared" si="110"/>
        <v>359733.05406064074</v>
      </c>
      <c r="O104" s="18">
        <f t="shared" si="110"/>
        <v>583736.3980763545</v>
      </c>
      <c r="P104" s="18">
        <f t="shared" si="110"/>
        <v>4616.572207466771</v>
      </c>
      <c r="Q104" s="18">
        <f t="shared" si="110"/>
        <v>1250506.4337290616</v>
      </c>
      <c r="R104" s="4">
        <f t="shared" si="110"/>
        <v>9.867650018921974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 t="s">
        <v>145</v>
      </c>
      <c r="AC104" s="38">
        <f>SUM(AD40:AD102)/59</f>
        <v>123.17738002006728</v>
      </c>
      <c r="AD104" s="38">
        <f>SUM(AE40:AE102)/59</f>
        <v>91.32535483586673</v>
      </c>
      <c r="AE104" s="38">
        <f>SUM(AF40:AF102)/59</f>
        <v>68.4683807750824</v>
      </c>
      <c r="AF104" s="38">
        <f>SUM(AG40:AG102)/59</f>
        <v>55.132501909604656</v>
      </c>
      <c r="AG104" s="38">
        <f>SUM(AH40:AH102)/59</f>
        <v>53.131315295545974</v>
      </c>
      <c r="AH104" s="28"/>
      <c r="BX104"/>
    </row>
    <row r="105" spans="1:34" ht="16.5">
      <c r="A105" s="5"/>
      <c r="B105" s="15"/>
      <c r="D105" s="2"/>
      <c r="E105" s="33"/>
      <c r="F105" s="33"/>
      <c r="G105" s="33"/>
      <c r="H105" s="33"/>
      <c r="I105" s="33"/>
      <c r="J105" s="10" t="s">
        <v>156</v>
      </c>
      <c r="K105" s="29">
        <f>K104/$Q$104</f>
        <v>0.0045129908740269625</v>
      </c>
      <c r="L105" s="29">
        <f aca="true" t="shared" si="111" ref="L105:Q105">L104/$Q$104</f>
        <v>0.23399925763764842</v>
      </c>
      <c r="M105" s="29">
        <f t="shared" si="111"/>
        <v>0.0033260989191087743</v>
      </c>
      <c r="N105" s="29">
        <f t="shared" si="111"/>
        <v>0.28766989465852005</v>
      </c>
      <c r="O105" s="29">
        <f t="shared" si="111"/>
        <v>0.4667999958509838</v>
      </c>
      <c r="P105" s="29">
        <f t="shared" si="111"/>
        <v>0.0036917620597120503</v>
      </c>
      <c r="Q105" s="11">
        <f t="shared" si="111"/>
        <v>1</v>
      </c>
      <c r="R105" s="1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28"/>
      <c r="AE105" s="28"/>
      <c r="AF105" s="28"/>
      <c r="AG105" s="28"/>
      <c r="AH105" s="28"/>
    </row>
    <row r="106" spans="2:29" ht="5.25" customHeight="1">
      <c r="B106" s="15"/>
      <c r="E106" s="34"/>
      <c r="F106" s="34"/>
      <c r="G106" s="34"/>
      <c r="H106" s="34"/>
      <c r="I106" s="34"/>
      <c r="J106" s="33"/>
      <c r="L106" s="33"/>
      <c r="M106" s="33"/>
      <c r="N106" s="33"/>
      <c r="O106" s="33"/>
      <c r="P106" s="33"/>
      <c r="Q106" s="33"/>
      <c r="R106" s="18"/>
      <c r="AC106" s="30"/>
    </row>
    <row r="107" spans="2:29" ht="16.5">
      <c r="B107" s="15"/>
      <c r="E107" s="34"/>
      <c r="F107" s="34"/>
      <c r="G107" s="34"/>
      <c r="H107" s="34"/>
      <c r="I107" s="34"/>
      <c r="J107" s="34"/>
      <c r="L107" s="33"/>
      <c r="M107" s="33"/>
      <c r="N107" s="33"/>
      <c r="O107" s="33" t="s">
        <v>57</v>
      </c>
      <c r="P107" s="33"/>
      <c r="Q107" s="18">
        <f>MAX(Q40:Q102)</f>
        <v>29114.77625648044</v>
      </c>
      <c r="R107" s="18"/>
      <c r="AC107" s="30"/>
    </row>
    <row r="108" spans="2:29" ht="6" customHeight="1">
      <c r="B108" s="15"/>
      <c r="E108" s="34"/>
      <c r="F108" s="34"/>
      <c r="G108" s="34"/>
      <c r="H108" s="34"/>
      <c r="I108" s="34"/>
      <c r="J108" s="33"/>
      <c r="L108" s="33"/>
      <c r="M108" s="33"/>
      <c r="N108" s="33"/>
      <c r="O108" s="33"/>
      <c r="P108" s="33"/>
      <c r="R108"/>
      <c r="AC108" s="30"/>
    </row>
    <row r="109" spans="2:75" ht="16.5">
      <c r="B109" s="15"/>
      <c r="E109" s="34"/>
      <c r="F109" s="34"/>
      <c r="G109" s="34"/>
      <c r="H109" s="34"/>
      <c r="I109" s="34"/>
      <c r="J109" s="102" t="s">
        <v>158</v>
      </c>
      <c r="K109" s="4">
        <f aca="true" t="shared" si="112" ref="K109:P109">(SUM(K40:K55)+K56*($A56-$A55)+K58*($A59-$A58)+SUM(K59:K76)+K77*($A77-$A76)+K79*($A80-$A79)+SUM(K80:K92)+K93*($A93-$A92)+K95*($A96-$A95)+SUM(K96:K101)+K102*($A102-$A101))*$J$29</f>
        <v>0.04416755122961374</v>
      </c>
      <c r="L109" s="4">
        <f t="shared" si="112"/>
        <v>2.2906366672965697</v>
      </c>
      <c r="M109" s="4">
        <f t="shared" si="112"/>
        <v>0.03339043979057142</v>
      </c>
      <c r="N109" s="4">
        <f t="shared" si="112"/>
        <v>2.8624706199203307</v>
      </c>
      <c r="O109" s="4">
        <f t="shared" si="112"/>
        <v>4.600327619546355</v>
      </c>
      <c r="P109" s="4">
        <f t="shared" si="112"/>
        <v>0.03665712113853431</v>
      </c>
      <c r="Q109" s="4">
        <f>SUM(K109:P109)</f>
        <v>9.867650018921973</v>
      </c>
      <c r="R109"/>
      <c r="AC109" s="30"/>
      <c r="BW109" s="2"/>
    </row>
    <row r="110" spans="2:75" ht="16.5">
      <c r="B110" s="15"/>
      <c r="E110" s="34"/>
      <c r="F110" s="34"/>
      <c r="G110" s="34"/>
      <c r="H110" s="34"/>
      <c r="I110" s="34"/>
      <c r="J110" s="33"/>
      <c r="L110" s="33"/>
      <c r="M110" s="33"/>
      <c r="N110" s="33"/>
      <c r="O110" s="33"/>
      <c r="P110" s="33"/>
      <c r="R110"/>
      <c r="AC110" s="30"/>
      <c r="BW110" s="2"/>
    </row>
    <row r="111" spans="2:75" ht="16.5">
      <c r="B111" s="15"/>
      <c r="E111" s="34"/>
      <c r="F111" s="34"/>
      <c r="G111" s="34"/>
      <c r="H111" s="34"/>
      <c r="I111" s="34"/>
      <c r="J111" s="33"/>
      <c r="L111" s="33"/>
      <c r="M111" s="33"/>
      <c r="N111" s="33"/>
      <c r="O111" s="33"/>
      <c r="P111" s="2"/>
      <c r="Q111" s="40"/>
      <c r="BW111" s="2"/>
    </row>
    <row r="112" spans="2:75" ht="16.5">
      <c r="B112" s="4"/>
      <c r="E112" s="34"/>
      <c r="F112" s="34"/>
      <c r="G112" s="34"/>
      <c r="H112" s="34"/>
      <c r="I112" s="34"/>
      <c r="J112" s="33"/>
      <c r="L112" s="33"/>
      <c r="M112" s="33"/>
      <c r="N112" s="33"/>
      <c r="O112" s="33"/>
      <c r="P112" s="2"/>
      <c r="Q112" s="40"/>
      <c r="BW112" s="2"/>
    </row>
    <row r="113" spans="2:75" ht="16.5">
      <c r="B113" s="4"/>
      <c r="E113" s="34"/>
      <c r="F113" s="34"/>
      <c r="G113" s="34"/>
      <c r="H113" s="34"/>
      <c r="I113" s="34"/>
      <c r="J113" s="33"/>
      <c r="L113" s="33"/>
      <c r="M113" s="33"/>
      <c r="N113" s="33"/>
      <c r="O113" s="33"/>
      <c r="P113" s="2"/>
      <c r="Q113" s="40"/>
      <c r="BW113" s="2"/>
    </row>
    <row r="114" spans="2:17" ht="16.5">
      <c r="B114" s="4"/>
      <c r="E114" s="34"/>
      <c r="F114" s="34"/>
      <c r="G114" s="34"/>
      <c r="H114" s="34"/>
      <c r="I114" s="34"/>
      <c r="J114" s="33"/>
      <c r="L114" s="33"/>
      <c r="M114" s="33"/>
      <c r="N114" s="33"/>
      <c r="O114" s="33"/>
      <c r="P114" s="2"/>
      <c r="Q114" s="40"/>
    </row>
    <row r="115" spans="2:17" ht="16.5">
      <c r="B115" s="4"/>
      <c r="E115" s="34"/>
      <c r="F115" s="34"/>
      <c r="G115" s="34"/>
      <c r="H115" s="34"/>
      <c r="I115" s="34"/>
      <c r="J115" s="33"/>
      <c r="L115" s="33"/>
      <c r="M115" s="33"/>
      <c r="N115" s="33"/>
      <c r="O115" s="33"/>
      <c r="P115" s="2"/>
      <c r="Q115" s="40"/>
    </row>
    <row r="116" spans="2:17" ht="16.5">
      <c r="B116" s="4"/>
      <c r="E116" s="34"/>
      <c r="F116" s="34"/>
      <c r="G116" s="34"/>
      <c r="H116" s="34"/>
      <c r="I116" s="34"/>
      <c r="J116" s="33"/>
      <c r="L116" s="33"/>
      <c r="M116" s="33"/>
      <c r="N116" s="33"/>
      <c r="O116" s="33"/>
      <c r="P116" s="2"/>
      <c r="Q116" s="40"/>
    </row>
    <row r="117" spans="2:15" ht="16.5">
      <c r="B117" s="4"/>
      <c r="E117" s="34"/>
      <c r="F117" s="34"/>
      <c r="G117" s="34"/>
      <c r="H117" s="34"/>
      <c r="I117" s="34"/>
      <c r="J117" s="33"/>
      <c r="L117" s="33"/>
      <c r="M117" s="33"/>
      <c r="N117" s="33"/>
      <c r="O117" s="33"/>
    </row>
    <row r="118" spans="2:15" ht="16.5">
      <c r="B118" s="4"/>
      <c r="E118" s="34"/>
      <c r="F118" s="34"/>
      <c r="G118" s="34"/>
      <c r="H118" s="34"/>
      <c r="I118" s="34"/>
      <c r="J118" s="33"/>
      <c r="L118" s="33"/>
      <c r="M118" s="33"/>
      <c r="N118" s="33"/>
      <c r="O118" s="33"/>
    </row>
    <row r="119" spans="2:15" ht="16.5">
      <c r="B119" s="4"/>
      <c r="E119" s="34"/>
      <c r="F119" s="34"/>
      <c r="G119" s="34"/>
      <c r="H119" s="34"/>
      <c r="I119" s="34"/>
      <c r="J119" s="33"/>
      <c r="L119" s="33"/>
      <c r="M119" s="33"/>
      <c r="N119" s="33"/>
      <c r="O119" s="33"/>
    </row>
    <row r="120" spans="2:15" ht="16.5">
      <c r="B120" s="4"/>
      <c r="E120" s="34"/>
      <c r="F120" s="34"/>
      <c r="G120" s="34"/>
      <c r="H120" s="34"/>
      <c r="I120" s="34"/>
      <c r="J120" s="33"/>
      <c r="L120" s="33"/>
      <c r="M120" s="33"/>
      <c r="N120" s="33"/>
      <c r="O120" s="33"/>
    </row>
    <row r="121" spans="2:15" ht="16.5">
      <c r="B121" s="4"/>
      <c r="E121" s="34"/>
      <c r="F121" s="34"/>
      <c r="G121" s="34"/>
      <c r="H121" s="34"/>
      <c r="I121" s="34"/>
      <c r="J121" s="33"/>
      <c r="L121" s="33"/>
      <c r="M121" s="33"/>
      <c r="N121" s="33"/>
      <c r="O121" s="33"/>
    </row>
    <row r="122" spans="2:15" ht="16.5">
      <c r="B122" s="4"/>
      <c r="E122" s="34"/>
      <c r="F122" s="34"/>
      <c r="G122" s="34"/>
      <c r="H122" s="34"/>
      <c r="I122" s="34"/>
      <c r="J122" s="33"/>
      <c r="L122" s="33"/>
      <c r="M122" s="33"/>
      <c r="N122" s="33"/>
      <c r="O122" s="33"/>
    </row>
    <row r="123" spans="2:15" ht="16.5">
      <c r="B123" s="4"/>
      <c r="E123" s="34"/>
      <c r="F123" s="34"/>
      <c r="G123" s="34"/>
      <c r="H123" s="34"/>
      <c r="I123" s="34"/>
      <c r="J123" s="33"/>
      <c r="L123" s="33"/>
      <c r="M123" s="33"/>
      <c r="N123" s="33"/>
      <c r="O123" s="33"/>
    </row>
    <row r="124" spans="2:15" ht="16.5">
      <c r="B124" s="4"/>
      <c r="E124" s="33"/>
      <c r="F124" s="34"/>
      <c r="G124" s="33"/>
      <c r="H124" s="33"/>
      <c r="I124" s="33"/>
      <c r="J124" s="33"/>
      <c r="L124" s="33"/>
      <c r="M124" s="33"/>
      <c r="N124" s="33"/>
      <c r="O124" s="33"/>
    </row>
    <row r="125" spans="2:15" ht="16.5">
      <c r="B125" s="4"/>
      <c r="E125" s="33"/>
      <c r="F125" s="34"/>
      <c r="G125" s="33"/>
      <c r="H125" s="33"/>
      <c r="I125" s="33"/>
      <c r="J125" s="33"/>
      <c r="L125" s="33"/>
      <c r="M125" s="33"/>
      <c r="N125" s="33"/>
      <c r="O125" s="33"/>
    </row>
    <row r="126" spans="2:15" ht="16.5">
      <c r="B126" s="4"/>
      <c r="E126" s="33"/>
      <c r="F126" s="34"/>
      <c r="G126" s="33"/>
      <c r="H126" s="33"/>
      <c r="I126" s="33"/>
      <c r="J126" s="33"/>
      <c r="L126" s="33"/>
      <c r="M126" s="33"/>
      <c r="N126" s="33"/>
      <c r="O126" s="33"/>
    </row>
    <row r="127" spans="2:15" ht="16.5">
      <c r="B127" s="4"/>
      <c r="E127" s="33"/>
      <c r="F127" s="34"/>
      <c r="G127" s="33"/>
      <c r="H127" s="33"/>
      <c r="I127" s="33"/>
      <c r="J127" s="33"/>
      <c r="L127" s="33"/>
      <c r="M127" s="33"/>
      <c r="N127" s="33"/>
      <c r="O127" s="33"/>
    </row>
    <row r="128" spans="2:15" ht="16.5">
      <c r="B128" s="4"/>
      <c r="E128" s="33"/>
      <c r="F128" s="34"/>
      <c r="G128" s="33"/>
      <c r="H128" s="33"/>
      <c r="I128" s="33"/>
      <c r="J128" s="33"/>
      <c r="L128" s="33"/>
      <c r="M128" s="33"/>
      <c r="N128" s="33"/>
      <c r="O128" s="33"/>
    </row>
    <row r="129" spans="2:15" ht="16.5">
      <c r="B129" s="4"/>
      <c r="E129" s="33"/>
      <c r="F129" s="34"/>
      <c r="G129" s="33"/>
      <c r="H129" s="33"/>
      <c r="I129" s="33"/>
      <c r="J129" s="33"/>
      <c r="L129" s="33"/>
      <c r="M129" s="33"/>
      <c r="N129" s="33"/>
      <c r="O129" s="33"/>
    </row>
    <row r="130" spans="2:15" ht="16.5">
      <c r="B130" s="4"/>
      <c r="E130" s="33"/>
      <c r="F130" s="34"/>
      <c r="G130" s="33"/>
      <c r="H130" s="33"/>
      <c r="I130" s="33"/>
      <c r="J130" s="33"/>
      <c r="L130" s="33"/>
      <c r="M130" s="33"/>
      <c r="N130" s="33"/>
      <c r="O130" s="33"/>
    </row>
    <row r="131" spans="2:15" ht="16.5">
      <c r="B131" s="4"/>
      <c r="E131" s="33"/>
      <c r="F131" s="34"/>
      <c r="G131" s="33"/>
      <c r="H131" s="33"/>
      <c r="I131" s="33"/>
      <c r="J131" s="33"/>
      <c r="L131" s="33"/>
      <c r="M131" s="33"/>
      <c r="N131" s="33"/>
      <c r="O131" s="33"/>
    </row>
    <row r="132" spans="2:15" ht="16.5">
      <c r="B132" s="4"/>
      <c r="E132" s="33"/>
      <c r="F132" s="34"/>
      <c r="G132" s="33"/>
      <c r="H132" s="33"/>
      <c r="I132" s="33"/>
      <c r="J132" s="33"/>
      <c r="L132" s="33"/>
      <c r="M132" s="33"/>
      <c r="N132" s="33"/>
      <c r="O132" s="33"/>
    </row>
    <row r="133" spans="2:15" ht="16.5">
      <c r="B133" s="4"/>
      <c r="E133" s="33"/>
      <c r="F133" s="34"/>
      <c r="G133" s="33"/>
      <c r="H133" s="33"/>
      <c r="I133" s="33"/>
      <c r="J133" s="33"/>
      <c r="L133" s="33"/>
      <c r="M133" s="33"/>
      <c r="N133" s="33"/>
      <c r="O133" s="33"/>
    </row>
    <row r="134" spans="2:15" ht="16.5">
      <c r="B134" s="4"/>
      <c r="E134" s="33"/>
      <c r="F134" s="34"/>
      <c r="G134" s="33"/>
      <c r="H134" s="33"/>
      <c r="I134" s="33"/>
      <c r="J134" s="33"/>
      <c r="L134" s="33"/>
      <c r="M134" s="33"/>
      <c r="N134" s="33"/>
      <c r="O134" s="33"/>
    </row>
    <row r="135" spans="2:15" ht="16.5">
      <c r="B135" s="4"/>
      <c r="E135" s="33"/>
      <c r="F135" s="34"/>
      <c r="G135" s="33"/>
      <c r="H135" s="33"/>
      <c r="I135" s="33"/>
      <c r="J135" s="33"/>
      <c r="L135" s="33"/>
      <c r="M135" s="33"/>
      <c r="N135" s="33"/>
      <c r="O135" s="33"/>
    </row>
    <row r="136" spans="2:15" ht="16.5">
      <c r="B136" s="4"/>
      <c r="E136" s="33"/>
      <c r="F136" s="34"/>
      <c r="G136" s="33"/>
      <c r="H136" s="33"/>
      <c r="I136" s="33"/>
      <c r="J136" s="33"/>
      <c r="L136" s="33"/>
      <c r="M136" s="33"/>
      <c r="N136" s="33"/>
      <c r="O136" s="33"/>
    </row>
    <row r="137" spans="2:15" ht="16.5">
      <c r="B137" s="4"/>
      <c r="E137" s="33"/>
      <c r="F137" s="34"/>
      <c r="G137" s="33"/>
      <c r="H137" s="33"/>
      <c r="I137" s="33"/>
      <c r="J137" s="33"/>
      <c r="L137" s="33"/>
      <c r="M137" s="33"/>
      <c r="N137" s="33"/>
      <c r="O137" s="33"/>
    </row>
    <row r="138" spans="2:15" ht="16.5">
      <c r="B138" s="4"/>
      <c r="E138" s="33"/>
      <c r="F138" s="34"/>
      <c r="G138" s="33"/>
      <c r="H138" s="33"/>
      <c r="I138" s="33"/>
      <c r="J138" s="33"/>
      <c r="L138" s="33"/>
      <c r="M138" s="33"/>
      <c r="N138" s="33"/>
      <c r="O138" s="33"/>
    </row>
    <row r="139" spans="2:15" ht="16.5">
      <c r="B139" s="4"/>
      <c r="E139" s="33"/>
      <c r="F139" s="34"/>
      <c r="G139" s="33"/>
      <c r="H139" s="33"/>
      <c r="I139" s="33"/>
      <c r="J139" s="33"/>
      <c r="L139" s="33"/>
      <c r="M139" s="33"/>
      <c r="N139" s="33"/>
      <c r="O139" s="33"/>
    </row>
    <row r="140" spans="2:15" ht="16.5">
      <c r="B140" s="4"/>
      <c r="E140" s="33"/>
      <c r="F140" s="34"/>
      <c r="G140" s="33"/>
      <c r="H140" s="33"/>
      <c r="I140" s="33"/>
      <c r="J140" s="33"/>
      <c r="L140" s="33"/>
      <c r="M140" s="33"/>
      <c r="N140" s="33"/>
      <c r="O140" s="33"/>
    </row>
    <row r="141" spans="2:15" ht="16.5">
      <c r="B141" s="4"/>
      <c r="E141" s="33"/>
      <c r="F141" s="34"/>
      <c r="G141" s="33"/>
      <c r="H141" s="33"/>
      <c r="I141" s="33"/>
      <c r="J141" s="33"/>
      <c r="L141" s="33"/>
      <c r="M141" s="33"/>
      <c r="N141" s="33"/>
      <c r="O141" s="33"/>
    </row>
    <row r="142" spans="2:15" ht="16.5">
      <c r="B142" s="4"/>
      <c r="E142" s="33"/>
      <c r="F142" s="34"/>
      <c r="G142" s="33"/>
      <c r="H142" s="33"/>
      <c r="I142" s="33"/>
      <c r="J142" s="33"/>
      <c r="L142" s="33"/>
      <c r="M142" s="33"/>
      <c r="N142" s="33"/>
      <c r="O142" s="33"/>
    </row>
    <row r="143" spans="2:15" ht="16.5">
      <c r="B143" s="4"/>
      <c r="E143" s="33"/>
      <c r="F143" s="34"/>
      <c r="G143" s="33"/>
      <c r="H143" s="33"/>
      <c r="I143" s="33"/>
      <c r="J143" s="33"/>
      <c r="L143" s="33"/>
      <c r="M143" s="33"/>
      <c r="N143" s="33"/>
      <c r="O143" s="33"/>
    </row>
    <row r="144" spans="2:15" ht="16.5">
      <c r="B144" s="4"/>
      <c r="E144" s="33"/>
      <c r="F144" s="34"/>
      <c r="G144" s="33"/>
      <c r="H144" s="33"/>
      <c r="I144" s="33"/>
      <c r="J144" s="33"/>
      <c r="L144" s="33"/>
      <c r="M144" s="33"/>
      <c r="N144" s="33"/>
      <c r="O144" s="33"/>
    </row>
    <row r="145" spans="2:15" ht="16.5">
      <c r="B145" s="4"/>
      <c r="E145" s="33"/>
      <c r="F145" s="34"/>
      <c r="G145" s="33"/>
      <c r="H145" s="33"/>
      <c r="I145" s="33"/>
      <c r="J145" s="33"/>
      <c r="L145" s="33"/>
      <c r="M145" s="33"/>
      <c r="N145" s="33"/>
      <c r="O145" s="33"/>
    </row>
    <row r="146" spans="2:15" ht="16.5">
      <c r="B146" s="4"/>
      <c r="E146" s="33"/>
      <c r="F146" s="34"/>
      <c r="G146" s="33"/>
      <c r="H146" s="33"/>
      <c r="I146" s="33"/>
      <c r="J146" s="33"/>
      <c r="L146" s="33"/>
      <c r="M146" s="33"/>
      <c r="N146" s="33"/>
      <c r="O146" s="33"/>
    </row>
    <row r="147" spans="2:15" ht="16.5">
      <c r="B147" s="4"/>
      <c r="E147" s="33"/>
      <c r="F147" s="34"/>
      <c r="G147" s="33"/>
      <c r="H147" s="33"/>
      <c r="I147" s="33"/>
      <c r="J147" s="33"/>
      <c r="L147" s="33"/>
      <c r="M147" s="33"/>
      <c r="N147" s="33"/>
      <c r="O147" s="33"/>
    </row>
    <row r="148" spans="2:15" ht="16.5">
      <c r="B148" s="4"/>
      <c r="E148" s="33"/>
      <c r="F148" s="34"/>
      <c r="G148" s="33"/>
      <c r="H148" s="33"/>
      <c r="I148" s="33"/>
      <c r="J148" s="33"/>
      <c r="L148" s="33"/>
      <c r="M148" s="33"/>
      <c r="N148" s="33"/>
      <c r="O148" s="33"/>
    </row>
    <row r="149" spans="2:15" ht="16.5">
      <c r="B149" s="4"/>
      <c r="E149" s="33"/>
      <c r="F149" s="34"/>
      <c r="G149" s="33"/>
      <c r="H149" s="33"/>
      <c r="I149" s="33"/>
      <c r="J149" s="33"/>
      <c r="L149" s="33"/>
      <c r="M149" s="33"/>
      <c r="N149" s="33"/>
      <c r="O149" s="33"/>
    </row>
    <row r="150" spans="2:15" ht="16.5">
      <c r="B150" s="4"/>
      <c r="E150" s="33"/>
      <c r="F150" s="34"/>
      <c r="G150" s="33"/>
      <c r="H150" s="33"/>
      <c r="I150" s="33"/>
      <c r="J150" s="33"/>
      <c r="L150" s="33"/>
      <c r="M150" s="33"/>
      <c r="N150" s="33"/>
      <c r="O150" s="33"/>
    </row>
    <row r="151" spans="2:15" ht="16.5">
      <c r="B151" s="4"/>
      <c r="E151" s="33"/>
      <c r="F151" s="34"/>
      <c r="G151" s="33"/>
      <c r="H151" s="33"/>
      <c r="I151" s="33"/>
      <c r="J151" s="33"/>
      <c r="L151" s="33"/>
      <c r="M151" s="33"/>
      <c r="N151" s="33"/>
      <c r="O151" s="33"/>
    </row>
    <row r="152" spans="2:15" ht="16.5">
      <c r="B152" s="4"/>
      <c r="E152" s="33"/>
      <c r="F152" s="34"/>
      <c r="G152" s="33"/>
      <c r="H152" s="33"/>
      <c r="I152" s="33"/>
      <c r="J152" s="33"/>
      <c r="L152" s="33"/>
      <c r="M152" s="33"/>
      <c r="N152" s="33"/>
      <c r="O152" s="33"/>
    </row>
    <row r="153" spans="2:15" ht="16.5">
      <c r="B153" s="4"/>
      <c r="E153" s="33"/>
      <c r="F153" s="34"/>
      <c r="G153" s="33"/>
      <c r="H153" s="33"/>
      <c r="I153" s="33"/>
      <c r="J153" s="33"/>
      <c r="L153" s="33"/>
      <c r="M153" s="33"/>
      <c r="N153" s="33"/>
      <c r="O153" s="33"/>
    </row>
    <row r="154" spans="2:15" ht="16.5">
      <c r="B154" s="4"/>
      <c r="E154" s="33"/>
      <c r="F154" s="34"/>
      <c r="G154" s="33"/>
      <c r="H154" s="33"/>
      <c r="I154" s="33"/>
      <c r="J154" s="33"/>
      <c r="L154" s="33"/>
      <c r="M154" s="33"/>
      <c r="N154" s="33"/>
      <c r="O154" s="33"/>
    </row>
    <row r="155" spans="2:15" ht="16.5">
      <c r="B155" s="4"/>
      <c r="E155" s="33"/>
      <c r="F155" s="34"/>
      <c r="G155" s="33"/>
      <c r="H155" s="33"/>
      <c r="I155" s="33"/>
      <c r="J155" s="33"/>
      <c r="L155" s="33"/>
      <c r="M155" s="33"/>
      <c r="N155" s="33"/>
      <c r="O155" s="33"/>
    </row>
    <row r="156" spans="2:15" ht="16.5">
      <c r="B156" s="4"/>
      <c r="E156" s="33"/>
      <c r="F156" s="34"/>
      <c r="G156" s="33"/>
      <c r="H156" s="33"/>
      <c r="I156" s="33"/>
      <c r="J156" s="33"/>
      <c r="L156" s="33"/>
      <c r="M156" s="33"/>
      <c r="N156" s="33"/>
      <c r="O156" s="33"/>
    </row>
    <row r="157" spans="2:15" ht="16.5">
      <c r="B157" s="4"/>
      <c r="E157" s="33"/>
      <c r="F157" s="34"/>
      <c r="G157" s="33"/>
      <c r="H157" s="33"/>
      <c r="I157" s="33"/>
      <c r="J157" s="33"/>
      <c r="L157" s="33"/>
      <c r="M157" s="33"/>
      <c r="N157" s="33"/>
      <c r="O157" s="33"/>
    </row>
    <row r="158" spans="2:15" ht="16.5">
      <c r="B158" s="4"/>
      <c r="E158" s="33"/>
      <c r="F158" s="34"/>
      <c r="G158" s="33"/>
      <c r="H158" s="33"/>
      <c r="I158" s="33"/>
      <c r="J158" s="33"/>
      <c r="L158" s="33"/>
      <c r="M158" s="33"/>
      <c r="N158" s="33"/>
      <c r="O158" s="33"/>
    </row>
    <row r="159" spans="2:15" ht="16.5">
      <c r="B159" s="4"/>
      <c r="E159" s="33"/>
      <c r="F159" s="34"/>
      <c r="G159" s="33"/>
      <c r="H159" s="33"/>
      <c r="I159" s="33"/>
      <c r="J159" s="33"/>
      <c r="L159" s="33"/>
      <c r="M159" s="33"/>
      <c r="N159" s="33"/>
      <c r="O159" s="33"/>
    </row>
    <row r="160" spans="2:15" ht="16.5">
      <c r="B160" s="4"/>
      <c r="E160" s="33"/>
      <c r="F160" s="34"/>
      <c r="G160" s="33"/>
      <c r="H160" s="33"/>
      <c r="I160" s="33"/>
      <c r="J160" s="33"/>
      <c r="L160" s="33"/>
      <c r="M160" s="33"/>
      <c r="N160" s="33"/>
      <c r="O160" s="33"/>
    </row>
    <row r="161" spans="2:15" ht="16.5">
      <c r="B161" s="4"/>
      <c r="E161" s="33"/>
      <c r="F161" s="34"/>
      <c r="G161" s="33"/>
      <c r="H161" s="33"/>
      <c r="I161" s="33"/>
      <c r="J161" s="33"/>
      <c r="L161" s="33"/>
      <c r="M161" s="33"/>
      <c r="N161" s="33"/>
      <c r="O161" s="33"/>
    </row>
    <row r="162" spans="2:15" ht="16.5">
      <c r="B162" s="4"/>
      <c r="E162" s="33"/>
      <c r="F162" s="34"/>
      <c r="G162" s="33"/>
      <c r="H162" s="33"/>
      <c r="I162" s="33"/>
      <c r="J162" s="33"/>
      <c r="L162" s="33"/>
      <c r="M162" s="33"/>
      <c r="N162" s="33"/>
      <c r="O162" s="33"/>
    </row>
    <row r="163" spans="5:15" ht="16.5">
      <c r="E163" s="33"/>
      <c r="F163" s="34"/>
      <c r="G163" s="33"/>
      <c r="H163" s="33"/>
      <c r="I163" s="33"/>
      <c r="J163" s="33"/>
      <c r="L163" s="33"/>
      <c r="M163" s="33"/>
      <c r="N163" s="33"/>
      <c r="O163" s="33"/>
    </row>
    <row r="164" spans="5:15" ht="16.5">
      <c r="E164" s="33"/>
      <c r="F164" s="34"/>
      <c r="G164" s="33"/>
      <c r="H164" s="33"/>
      <c r="I164" s="33"/>
      <c r="J164" s="33"/>
      <c r="L164" s="33"/>
      <c r="M164" s="33"/>
      <c r="N164" s="33"/>
      <c r="O164" s="33"/>
    </row>
    <row r="165" spans="5:15" ht="16.5">
      <c r="E165" s="33"/>
      <c r="F165" s="34"/>
      <c r="G165" s="33"/>
      <c r="H165" s="33"/>
      <c r="I165" s="33"/>
      <c r="J165" s="33"/>
      <c r="L165" s="33"/>
      <c r="M165" s="33"/>
      <c r="N165" s="33"/>
      <c r="O165" s="33"/>
    </row>
    <row r="166" spans="5:15" ht="16.5">
      <c r="E166" s="33"/>
      <c r="F166" s="34"/>
      <c r="G166" s="33"/>
      <c r="H166" s="33"/>
      <c r="I166" s="33"/>
      <c r="J166" s="33"/>
      <c r="L166" s="33"/>
      <c r="M166" s="33"/>
      <c r="N166" s="33"/>
      <c r="O166" s="33"/>
    </row>
    <row r="167" spans="5:15" ht="16.5">
      <c r="E167" s="33"/>
      <c r="F167" s="34"/>
      <c r="G167" s="33"/>
      <c r="H167" s="33"/>
      <c r="I167" s="33"/>
      <c r="J167" s="33"/>
      <c r="L167" s="33"/>
      <c r="M167" s="33"/>
      <c r="N167" s="33"/>
      <c r="O167" s="33"/>
    </row>
    <row r="168" spans="5:15" ht="16.5">
      <c r="E168" s="33"/>
      <c r="F168" s="34"/>
      <c r="G168" s="33"/>
      <c r="H168" s="33"/>
      <c r="I168" s="33"/>
      <c r="J168" s="33"/>
      <c r="L168" s="33"/>
      <c r="M168" s="33"/>
      <c r="N168" s="33"/>
      <c r="O168" s="33"/>
    </row>
    <row r="169" spans="5:15" ht="16.5">
      <c r="E169" s="33"/>
      <c r="F169" s="34"/>
      <c r="G169" s="33"/>
      <c r="H169" s="33"/>
      <c r="I169" s="33"/>
      <c r="J169" s="33"/>
      <c r="L169" s="33"/>
      <c r="M169" s="33"/>
      <c r="N169" s="33"/>
      <c r="O169" s="33"/>
    </row>
    <row r="170" spans="5:15" ht="16.5">
      <c r="E170" s="33"/>
      <c r="F170" s="34"/>
      <c r="G170" s="33"/>
      <c r="H170" s="33"/>
      <c r="I170" s="33"/>
      <c r="J170" s="33"/>
      <c r="L170" s="33"/>
      <c r="M170" s="33"/>
      <c r="N170" s="33"/>
      <c r="O170" s="33"/>
    </row>
    <row r="171" spans="5:15" ht="16.5">
      <c r="E171" s="33"/>
      <c r="F171" s="34"/>
      <c r="G171" s="33"/>
      <c r="H171" s="33"/>
      <c r="I171" s="33"/>
      <c r="J171" s="33"/>
      <c r="L171" s="33"/>
      <c r="M171" s="33"/>
      <c r="N171" s="33"/>
      <c r="O171" s="33"/>
    </row>
    <row r="172" spans="5:15" ht="16.5">
      <c r="E172" s="33"/>
      <c r="F172" s="34"/>
      <c r="G172" s="33"/>
      <c r="H172" s="33"/>
      <c r="I172" s="33"/>
      <c r="J172" s="33"/>
      <c r="L172" s="33"/>
      <c r="M172" s="33"/>
      <c r="N172" s="33"/>
      <c r="O172" s="33"/>
    </row>
    <row r="173" spans="5:15" ht="16.5">
      <c r="E173" s="33"/>
      <c r="F173" s="34"/>
      <c r="G173" s="33"/>
      <c r="H173" s="33"/>
      <c r="I173" s="33"/>
      <c r="J173" s="33"/>
      <c r="L173" s="33"/>
      <c r="M173" s="33"/>
      <c r="N173" s="33"/>
      <c r="O173" s="33"/>
    </row>
    <row r="174" spans="5:15" ht="16.5">
      <c r="E174" s="33"/>
      <c r="F174" s="34"/>
      <c r="G174" s="33"/>
      <c r="H174" s="33"/>
      <c r="I174" s="33"/>
      <c r="J174" s="33"/>
      <c r="L174" s="33"/>
      <c r="M174" s="33"/>
      <c r="N174" s="33"/>
      <c r="O174" s="33"/>
    </row>
    <row r="175" spans="5:15" ht="16.5">
      <c r="E175" s="33"/>
      <c r="F175" s="34"/>
      <c r="G175" s="33"/>
      <c r="H175" s="33"/>
      <c r="I175" s="33"/>
      <c r="J175" s="33"/>
      <c r="L175" s="33"/>
      <c r="M175" s="33"/>
      <c r="N175" s="33"/>
      <c r="O175" s="33"/>
    </row>
    <row r="176" spans="5:15" ht="16.5">
      <c r="E176" s="33"/>
      <c r="F176" s="34"/>
      <c r="G176" s="33"/>
      <c r="H176" s="33"/>
      <c r="I176" s="33"/>
      <c r="J176" s="33"/>
      <c r="L176" s="33"/>
      <c r="M176" s="33"/>
      <c r="N176" s="33"/>
      <c r="O176" s="33"/>
    </row>
    <row r="177" spans="5:15" ht="16.5">
      <c r="E177" s="33"/>
      <c r="F177" s="34"/>
      <c r="G177" s="33"/>
      <c r="H177" s="33"/>
      <c r="I177" s="33"/>
      <c r="J177" s="33"/>
      <c r="L177" s="33"/>
      <c r="M177" s="33"/>
      <c r="N177" s="33"/>
      <c r="O177" s="33"/>
    </row>
    <row r="178" spans="5:15" ht="16.5">
      <c r="E178" s="33"/>
      <c r="F178" s="34"/>
      <c r="G178" s="33"/>
      <c r="H178" s="33"/>
      <c r="I178" s="33"/>
      <c r="J178" s="33"/>
      <c r="L178" s="33"/>
      <c r="M178" s="33"/>
      <c r="N178" s="33"/>
      <c r="O178" s="33"/>
    </row>
    <row r="179" spans="5:15" ht="16.5">
      <c r="E179" s="33"/>
      <c r="F179" s="34"/>
      <c r="G179" s="33"/>
      <c r="H179" s="33"/>
      <c r="I179" s="33"/>
      <c r="J179" s="33"/>
      <c r="L179" s="33"/>
      <c r="M179" s="33"/>
      <c r="N179" s="33"/>
      <c r="O179" s="33"/>
    </row>
    <row r="180" spans="5:15" ht="16.5">
      <c r="E180" s="33"/>
      <c r="F180" s="34"/>
      <c r="G180" s="33"/>
      <c r="H180" s="33"/>
      <c r="I180" s="33"/>
      <c r="J180" s="33"/>
      <c r="L180" s="33"/>
      <c r="M180" s="33"/>
      <c r="N180" s="33"/>
      <c r="O180" s="33"/>
    </row>
    <row r="181" spans="5:15" ht="16.5">
      <c r="E181" s="33"/>
      <c r="F181" s="34"/>
      <c r="G181" s="33"/>
      <c r="H181" s="33"/>
      <c r="I181" s="33"/>
      <c r="J181" s="33"/>
      <c r="L181" s="33"/>
      <c r="M181" s="33"/>
      <c r="N181" s="33"/>
      <c r="O181" s="33"/>
    </row>
    <row r="182" spans="5:15" ht="16.5">
      <c r="E182" s="33"/>
      <c r="F182" s="34"/>
      <c r="G182" s="33"/>
      <c r="H182" s="33"/>
      <c r="I182" s="33"/>
      <c r="J182" s="33"/>
      <c r="L182" s="33"/>
      <c r="M182" s="33"/>
      <c r="N182" s="33"/>
      <c r="O182" s="33"/>
    </row>
    <row r="183" spans="5:15" ht="16.5">
      <c r="E183" s="33"/>
      <c r="F183" s="34"/>
      <c r="G183" s="33"/>
      <c r="H183" s="33"/>
      <c r="I183" s="33"/>
      <c r="J183" s="33"/>
      <c r="L183" s="33"/>
      <c r="M183" s="33"/>
      <c r="N183" s="33"/>
      <c r="O183" s="33"/>
    </row>
    <row r="184" spans="5:15" ht="16.5">
      <c r="E184" s="33"/>
      <c r="F184" s="34"/>
      <c r="G184" s="33"/>
      <c r="H184" s="33"/>
      <c r="I184" s="33"/>
      <c r="J184" s="33"/>
      <c r="L184" s="33"/>
      <c r="M184" s="33"/>
      <c r="N184" s="33"/>
      <c r="O184" s="33"/>
    </row>
    <row r="185" spans="5:15" ht="16.5">
      <c r="E185" s="33"/>
      <c r="F185" s="34"/>
      <c r="G185" s="33"/>
      <c r="H185" s="33"/>
      <c r="I185" s="33"/>
      <c r="J185" s="33"/>
      <c r="L185" s="33"/>
      <c r="M185" s="33"/>
      <c r="N185" s="33"/>
      <c r="O185" s="33"/>
    </row>
    <row r="186" spans="5:15" ht="16.5">
      <c r="E186" s="33"/>
      <c r="F186" s="34"/>
      <c r="G186" s="33"/>
      <c r="H186" s="33"/>
      <c r="I186" s="33"/>
      <c r="J186" s="33"/>
      <c r="L186" s="33"/>
      <c r="M186" s="33"/>
      <c r="N186" s="33"/>
      <c r="O186" s="33"/>
    </row>
    <row r="187" spans="5:15" ht="16.5">
      <c r="E187" s="33"/>
      <c r="F187" s="34"/>
      <c r="G187" s="33"/>
      <c r="H187" s="33"/>
      <c r="I187" s="33"/>
      <c r="J187" s="33"/>
      <c r="L187" s="33"/>
      <c r="M187" s="33"/>
      <c r="N187" s="33"/>
      <c r="O187" s="33"/>
    </row>
    <row r="188" spans="5:15" ht="16.5">
      <c r="E188" s="33"/>
      <c r="F188" s="34"/>
      <c r="G188" s="33"/>
      <c r="H188" s="33"/>
      <c r="I188" s="33"/>
      <c r="J188" s="33"/>
      <c r="L188" s="33"/>
      <c r="M188" s="33"/>
      <c r="N188" s="33"/>
      <c r="O188" s="33"/>
    </row>
    <row r="189" spans="5:15" ht="16.5">
      <c r="E189" s="33"/>
      <c r="F189" s="34"/>
      <c r="G189" s="33"/>
      <c r="H189" s="33"/>
      <c r="I189" s="33"/>
      <c r="J189" s="33"/>
      <c r="L189" s="33"/>
      <c r="M189" s="33"/>
      <c r="N189" s="33"/>
      <c r="O189" s="33"/>
    </row>
    <row r="190" spans="5:15" ht="16.5">
      <c r="E190" s="33"/>
      <c r="F190" s="34"/>
      <c r="G190" s="33"/>
      <c r="H190" s="33"/>
      <c r="I190" s="33"/>
      <c r="J190" s="33"/>
      <c r="L190" s="33"/>
      <c r="M190" s="33"/>
      <c r="N190" s="33"/>
      <c r="O190" s="33"/>
    </row>
    <row r="191" spans="5:15" ht="16.5">
      <c r="E191" s="33"/>
      <c r="F191" s="34"/>
      <c r="G191" s="33"/>
      <c r="H191" s="33"/>
      <c r="I191" s="33"/>
      <c r="J191" s="33"/>
      <c r="L191" s="33"/>
      <c r="M191" s="33"/>
      <c r="N191" s="33"/>
      <c r="O191" s="33"/>
    </row>
    <row r="192" spans="5:15" ht="16.5">
      <c r="E192" s="33"/>
      <c r="F192" s="34"/>
      <c r="G192" s="33"/>
      <c r="H192" s="33"/>
      <c r="I192" s="33"/>
      <c r="J192" s="33"/>
      <c r="L192" s="33"/>
      <c r="M192" s="33"/>
      <c r="N192" s="33"/>
      <c r="O192" s="33"/>
    </row>
    <row r="193" spans="5:15" ht="16.5">
      <c r="E193" s="33"/>
      <c r="F193" s="34"/>
      <c r="G193" s="33"/>
      <c r="H193" s="33"/>
      <c r="I193" s="33"/>
      <c r="J193" s="33"/>
      <c r="L193" s="33"/>
      <c r="M193" s="33"/>
      <c r="N193" s="33"/>
      <c r="O193" s="33"/>
    </row>
    <row r="194" spans="5:15" ht="16.5">
      <c r="E194" s="33"/>
      <c r="F194" s="34"/>
      <c r="G194" s="33"/>
      <c r="H194" s="33"/>
      <c r="I194" s="33"/>
      <c r="J194" s="33"/>
      <c r="L194" s="33"/>
      <c r="M194" s="33"/>
      <c r="N194" s="33"/>
      <c r="O194" s="33"/>
    </row>
    <row r="195" spans="5:15" ht="16.5">
      <c r="E195" s="33"/>
      <c r="F195" s="34"/>
      <c r="G195" s="33"/>
      <c r="H195" s="33"/>
      <c r="I195" s="33"/>
      <c r="J195" s="33"/>
      <c r="L195" s="33"/>
      <c r="M195" s="33"/>
      <c r="N195" s="33"/>
      <c r="O195" s="33"/>
    </row>
    <row r="196" spans="5:15" ht="16.5">
      <c r="E196" s="33"/>
      <c r="F196" s="34"/>
      <c r="G196" s="33"/>
      <c r="H196" s="33"/>
      <c r="I196" s="33"/>
      <c r="J196" s="33"/>
      <c r="L196" s="33"/>
      <c r="M196" s="33"/>
      <c r="N196" s="33"/>
      <c r="O196" s="33"/>
    </row>
    <row r="197" spans="5:15" ht="16.5">
      <c r="E197" s="33"/>
      <c r="F197" s="34"/>
      <c r="G197" s="33"/>
      <c r="H197" s="33"/>
      <c r="I197" s="33"/>
      <c r="J197" s="33"/>
      <c r="L197" s="33"/>
      <c r="M197" s="33"/>
      <c r="N197" s="33"/>
      <c r="O197" s="33"/>
    </row>
    <row r="198" spans="5:15" ht="16.5">
      <c r="E198" s="33"/>
      <c r="F198" s="34"/>
      <c r="G198" s="33"/>
      <c r="H198" s="33"/>
      <c r="I198" s="33"/>
      <c r="J198" s="33"/>
      <c r="L198" s="33"/>
      <c r="M198" s="33"/>
      <c r="N198" s="33"/>
      <c r="O198" s="33"/>
    </row>
    <row r="199" spans="5:15" ht="16.5">
      <c r="E199" s="33"/>
      <c r="F199" s="34"/>
      <c r="G199" s="33"/>
      <c r="H199" s="33"/>
      <c r="I199" s="33"/>
      <c r="J199" s="33"/>
      <c r="L199" s="33"/>
      <c r="M199" s="33"/>
      <c r="N199" s="33"/>
      <c r="O199" s="33"/>
    </row>
    <row r="200" spans="5:15" ht="16.5">
      <c r="E200" s="33"/>
      <c r="F200" s="34"/>
      <c r="G200" s="33"/>
      <c r="H200" s="33"/>
      <c r="I200" s="33"/>
      <c r="J200" s="33"/>
      <c r="L200" s="33"/>
      <c r="M200" s="33"/>
      <c r="N200" s="33"/>
      <c r="O200" s="33"/>
    </row>
    <row r="201" spans="5:15" ht="16.5">
      <c r="E201" s="33"/>
      <c r="F201" s="34"/>
      <c r="G201" s="33"/>
      <c r="H201" s="33"/>
      <c r="I201" s="33"/>
      <c r="J201" s="33"/>
      <c r="L201" s="33"/>
      <c r="M201" s="33"/>
      <c r="N201" s="33"/>
      <c r="O201" s="33"/>
    </row>
    <row r="202" spans="5:15" ht="16.5">
      <c r="E202" s="33"/>
      <c r="F202" s="34"/>
      <c r="G202" s="33"/>
      <c r="H202" s="33"/>
      <c r="I202" s="33"/>
      <c r="J202" s="33"/>
      <c r="L202" s="33"/>
      <c r="M202" s="33"/>
      <c r="N202" s="33"/>
      <c r="O202" s="33"/>
    </row>
    <row r="203" spans="5:15" ht="16.5">
      <c r="E203" s="33"/>
      <c r="F203" s="34"/>
      <c r="G203" s="33"/>
      <c r="H203" s="33"/>
      <c r="I203" s="33"/>
      <c r="J203" s="33"/>
      <c r="L203" s="33"/>
      <c r="M203" s="33"/>
      <c r="N203" s="33"/>
      <c r="O203" s="33"/>
    </row>
    <row r="204" spans="5:15" ht="16.5">
      <c r="E204" s="33"/>
      <c r="F204" s="34"/>
      <c r="G204" s="33"/>
      <c r="H204" s="33"/>
      <c r="I204" s="33"/>
      <c r="J204" s="33"/>
      <c r="L204" s="33"/>
      <c r="M204" s="33"/>
      <c r="N204" s="33"/>
      <c r="O204" s="33"/>
    </row>
    <row r="205" spans="5:15" ht="16.5">
      <c r="E205" s="33"/>
      <c r="F205" s="34"/>
      <c r="G205" s="33"/>
      <c r="H205" s="33"/>
      <c r="I205" s="33"/>
      <c r="J205" s="33"/>
      <c r="L205" s="33"/>
      <c r="M205" s="33"/>
      <c r="N205" s="33"/>
      <c r="O205" s="33"/>
    </row>
    <row r="206" spans="5:15" ht="16.5">
      <c r="E206" s="33"/>
      <c r="F206" s="34"/>
      <c r="G206" s="33"/>
      <c r="H206" s="33"/>
      <c r="I206" s="33"/>
      <c r="J206" s="33"/>
      <c r="L206" s="33"/>
      <c r="M206" s="33"/>
      <c r="N206" s="33"/>
      <c r="O206" s="33"/>
    </row>
    <row r="207" spans="5:15" ht="16.5">
      <c r="E207" s="33"/>
      <c r="F207" s="34"/>
      <c r="G207" s="33"/>
      <c r="H207" s="33"/>
      <c r="I207" s="33"/>
      <c r="J207" s="33"/>
      <c r="L207" s="33"/>
      <c r="M207" s="33"/>
      <c r="N207" s="33"/>
      <c r="O207" s="33"/>
    </row>
    <row r="208" spans="5:15" ht="16.5">
      <c r="E208" s="33"/>
      <c r="F208" s="34"/>
      <c r="G208" s="33"/>
      <c r="H208" s="33"/>
      <c r="I208" s="33"/>
      <c r="J208" s="33"/>
      <c r="L208" s="33"/>
      <c r="M208" s="33"/>
      <c r="N208" s="33"/>
      <c r="O208" s="33"/>
    </row>
    <row r="209" spans="5:15" ht="16.5">
      <c r="E209" s="33"/>
      <c r="F209" s="34"/>
      <c r="G209" s="33"/>
      <c r="H209" s="33"/>
      <c r="I209" s="33"/>
      <c r="J209" s="33"/>
      <c r="L209" s="33"/>
      <c r="M209" s="33"/>
      <c r="N209" s="33"/>
      <c r="O209" s="33"/>
    </row>
    <row r="210" spans="5:15" ht="16.5">
      <c r="E210" s="33"/>
      <c r="F210" s="34"/>
      <c r="G210" s="33"/>
      <c r="H210" s="33"/>
      <c r="I210" s="33"/>
      <c r="J210" s="33"/>
      <c r="L210" s="33"/>
      <c r="M210" s="33"/>
      <c r="N210" s="33"/>
      <c r="O210" s="33"/>
    </row>
    <row r="211" spans="5:15" ht="16.5">
      <c r="E211" s="33"/>
      <c r="F211" s="34"/>
      <c r="G211" s="33"/>
      <c r="H211" s="33"/>
      <c r="I211" s="33"/>
      <c r="J211" s="33"/>
      <c r="L211" s="33"/>
      <c r="M211" s="33"/>
      <c r="N211" s="33"/>
      <c r="O211" s="33"/>
    </row>
    <row r="212" spans="5:15" ht="16.5">
      <c r="E212" s="33"/>
      <c r="F212" s="34"/>
      <c r="G212" s="33"/>
      <c r="H212" s="33"/>
      <c r="I212" s="33"/>
      <c r="J212" s="33"/>
      <c r="L212" s="33"/>
      <c r="M212" s="33"/>
      <c r="N212" s="33"/>
      <c r="O212" s="33"/>
    </row>
    <row r="213" spans="5:15" ht="16.5">
      <c r="E213" s="33"/>
      <c r="F213" s="34"/>
      <c r="G213" s="33"/>
      <c r="H213" s="33"/>
      <c r="I213" s="33"/>
      <c r="J213" s="33"/>
      <c r="L213" s="33"/>
      <c r="M213" s="33"/>
      <c r="N213" s="33"/>
      <c r="O213" s="33"/>
    </row>
    <row r="214" spans="5:15" ht="16.5">
      <c r="E214" s="33"/>
      <c r="F214" s="34"/>
      <c r="G214" s="33"/>
      <c r="H214" s="33"/>
      <c r="I214" s="33"/>
      <c r="J214" s="33"/>
      <c r="L214" s="33"/>
      <c r="M214" s="33"/>
      <c r="N214" s="33"/>
      <c r="O214" s="33"/>
    </row>
    <row r="215" spans="5:15" ht="16.5">
      <c r="E215" s="33"/>
      <c r="F215" s="34"/>
      <c r="G215" s="33"/>
      <c r="H215" s="33"/>
      <c r="I215" s="33"/>
      <c r="J215" s="33"/>
      <c r="L215" s="33"/>
      <c r="M215" s="33"/>
      <c r="N215" s="33"/>
      <c r="O215" s="33"/>
    </row>
    <row r="216" spans="5:15" ht="16.5">
      <c r="E216" s="33"/>
      <c r="F216" s="34"/>
      <c r="G216" s="33"/>
      <c r="H216" s="33"/>
      <c r="I216" s="33"/>
      <c r="J216" s="33"/>
      <c r="L216" s="33"/>
      <c r="M216" s="33"/>
      <c r="N216" s="33"/>
      <c r="O216" s="33"/>
    </row>
    <row r="217" spans="5:15" ht="16.5">
      <c r="E217" s="33"/>
      <c r="F217" s="34"/>
      <c r="G217" s="33"/>
      <c r="H217" s="33"/>
      <c r="I217" s="33"/>
      <c r="J217" s="33"/>
      <c r="L217" s="33"/>
      <c r="M217" s="33"/>
      <c r="N217" s="33"/>
      <c r="O217" s="33"/>
    </row>
    <row r="218" spans="5:15" ht="16.5">
      <c r="E218" s="33"/>
      <c r="F218" s="34"/>
      <c r="G218" s="33"/>
      <c r="H218" s="33"/>
      <c r="I218" s="33"/>
      <c r="J218" s="33"/>
      <c r="L218" s="33"/>
      <c r="M218" s="33"/>
      <c r="N218" s="33"/>
      <c r="O218" s="33"/>
    </row>
    <row r="219" spans="5:15" ht="16.5">
      <c r="E219" s="33"/>
      <c r="F219" s="34"/>
      <c r="G219" s="33"/>
      <c r="H219" s="33"/>
      <c r="I219" s="33"/>
      <c r="J219" s="33"/>
      <c r="L219" s="33"/>
      <c r="M219" s="33"/>
      <c r="N219" s="33"/>
      <c r="O219" s="33"/>
    </row>
    <row r="220" spans="5:15" ht="16.5">
      <c r="E220" s="33"/>
      <c r="F220" s="34"/>
      <c r="G220" s="33"/>
      <c r="H220" s="33"/>
      <c r="I220" s="33"/>
      <c r="J220" s="33"/>
      <c r="L220" s="33"/>
      <c r="M220" s="33"/>
      <c r="N220" s="33"/>
      <c r="O220" s="33"/>
    </row>
    <row r="221" spans="5:15" ht="16.5">
      <c r="E221" s="33"/>
      <c r="F221" s="34"/>
      <c r="G221" s="33"/>
      <c r="H221" s="33"/>
      <c r="I221" s="33"/>
      <c r="J221" s="33"/>
      <c r="L221" s="33"/>
      <c r="M221" s="33"/>
      <c r="N221" s="33"/>
      <c r="O221" s="33"/>
    </row>
    <row r="222" spans="5:15" ht="16.5">
      <c r="E222" s="33"/>
      <c r="F222" s="34"/>
      <c r="G222" s="33"/>
      <c r="H222" s="33"/>
      <c r="I222" s="33"/>
      <c r="J222" s="33"/>
      <c r="L222" s="33"/>
      <c r="M222" s="33"/>
      <c r="N222" s="33"/>
      <c r="O222" s="33"/>
    </row>
    <row r="223" spans="5:15" ht="16.5">
      <c r="E223" s="33"/>
      <c r="F223" s="34"/>
      <c r="G223" s="33"/>
      <c r="H223" s="33"/>
      <c r="I223" s="33"/>
      <c r="J223" s="33"/>
      <c r="L223" s="33"/>
      <c r="M223" s="33"/>
      <c r="N223" s="33"/>
      <c r="O223" s="33"/>
    </row>
    <row r="224" spans="5:15" ht="16.5">
      <c r="E224" s="33"/>
      <c r="F224" s="34"/>
      <c r="G224" s="33"/>
      <c r="H224" s="33"/>
      <c r="I224" s="33"/>
      <c r="J224" s="33"/>
      <c r="L224" s="33"/>
      <c r="M224" s="33"/>
      <c r="N224" s="33"/>
      <c r="O224" s="33"/>
    </row>
    <row r="225" spans="5:15" ht="16.5">
      <c r="E225" s="33"/>
      <c r="F225" s="34"/>
      <c r="G225" s="33"/>
      <c r="H225" s="33"/>
      <c r="I225" s="33"/>
      <c r="J225" s="33"/>
      <c r="L225" s="33"/>
      <c r="M225" s="33"/>
      <c r="N225" s="33"/>
      <c r="O225" s="33"/>
    </row>
    <row r="226" spans="5:15" ht="16.5">
      <c r="E226" s="33"/>
      <c r="F226" s="34"/>
      <c r="G226" s="33"/>
      <c r="H226" s="33"/>
      <c r="I226" s="33"/>
      <c r="J226" s="33"/>
      <c r="L226" s="33"/>
      <c r="M226" s="33"/>
      <c r="N226" s="33"/>
      <c r="O226" s="33"/>
    </row>
    <row r="227" spans="5:15" ht="16.5">
      <c r="E227" s="33"/>
      <c r="F227" s="34"/>
      <c r="G227" s="33"/>
      <c r="H227" s="33"/>
      <c r="I227" s="33"/>
      <c r="J227" s="33"/>
      <c r="L227" s="33"/>
      <c r="M227" s="33"/>
      <c r="N227" s="33"/>
      <c r="O227" s="33"/>
    </row>
    <row r="228" spans="5:15" ht="16.5">
      <c r="E228" s="33"/>
      <c r="F228" s="34"/>
      <c r="G228" s="33"/>
      <c r="H228" s="33"/>
      <c r="I228" s="33"/>
      <c r="J228" s="33"/>
      <c r="L228" s="33"/>
      <c r="M228" s="33"/>
      <c r="N228" s="33"/>
      <c r="O228" s="33"/>
    </row>
    <row r="229" spans="5:15" ht="16.5">
      <c r="E229" s="33"/>
      <c r="F229" s="34"/>
      <c r="G229" s="33"/>
      <c r="H229" s="33"/>
      <c r="I229" s="33"/>
      <c r="J229" s="33"/>
      <c r="L229" s="33"/>
      <c r="M229" s="33"/>
      <c r="N229" s="33"/>
      <c r="O229" s="33"/>
    </row>
    <row r="230" spans="5:15" ht="16.5">
      <c r="E230" s="33"/>
      <c r="F230" s="34"/>
      <c r="G230" s="33"/>
      <c r="H230" s="33"/>
      <c r="I230" s="33"/>
      <c r="J230" s="33"/>
      <c r="L230" s="33"/>
      <c r="M230" s="33"/>
      <c r="N230" s="33"/>
      <c r="O230" s="33"/>
    </row>
    <row r="231" spans="5:15" ht="16.5">
      <c r="E231" s="33"/>
      <c r="F231" s="34"/>
      <c r="G231" s="33"/>
      <c r="H231" s="33"/>
      <c r="I231" s="33"/>
      <c r="J231" s="33"/>
      <c r="L231" s="33"/>
      <c r="M231" s="33"/>
      <c r="N231" s="33"/>
      <c r="O231" s="33"/>
    </row>
    <row r="232" spans="5:15" ht="16.5">
      <c r="E232" s="33"/>
      <c r="F232" s="34"/>
      <c r="G232" s="33"/>
      <c r="H232" s="33"/>
      <c r="I232" s="33"/>
      <c r="J232" s="33"/>
      <c r="L232" s="33"/>
      <c r="M232" s="33"/>
      <c r="N232" s="33"/>
      <c r="O232" s="33"/>
    </row>
    <row r="233" spans="5:15" ht="16.5">
      <c r="E233" s="33"/>
      <c r="F233" s="34"/>
      <c r="G233" s="33"/>
      <c r="H233" s="33"/>
      <c r="I233" s="33"/>
      <c r="J233" s="33"/>
      <c r="L233" s="33"/>
      <c r="M233" s="33"/>
      <c r="N233" s="33"/>
      <c r="O233" s="33"/>
    </row>
    <row r="234" spans="5:15" ht="16.5">
      <c r="E234" s="33"/>
      <c r="F234" s="34"/>
      <c r="G234" s="33"/>
      <c r="H234" s="33"/>
      <c r="I234" s="33"/>
      <c r="J234" s="33"/>
      <c r="L234" s="33"/>
      <c r="M234" s="33"/>
      <c r="N234" s="33"/>
      <c r="O234" s="33"/>
    </row>
    <row r="235" spans="5:15" ht="16.5">
      <c r="E235" s="33"/>
      <c r="F235" s="34"/>
      <c r="G235" s="33"/>
      <c r="H235" s="33"/>
      <c r="I235" s="33"/>
      <c r="J235" s="33"/>
      <c r="L235" s="33"/>
      <c r="M235" s="33"/>
      <c r="N235" s="33"/>
      <c r="O235" s="33"/>
    </row>
    <row r="236" spans="5:15" ht="16.5">
      <c r="E236" s="33"/>
      <c r="F236" s="34"/>
      <c r="G236" s="33"/>
      <c r="H236" s="33"/>
      <c r="I236" s="33"/>
      <c r="J236" s="33"/>
      <c r="L236" s="33"/>
      <c r="M236" s="33"/>
      <c r="N236" s="33"/>
      <c r="O236" s="33"/>
    </row>
    <row r="237" spans="5:15" ht="16.5">
      <c r="E237" s="33"/>
      <c r="F237" s="34"/>
      <c r="G237" s="33"/>
      <c r="H237" s="33"/>
      <c r="I237" s="33"/>
      <c r="J237" s="33"/>
      <c r="L237" s="33"/>
      <c r="M237" s="33"/>
      <c r="N237" s="33"/>
      <c r="O237" s="33"/>
    </row>
    <row r="238" spans="5:15" ht="16.5">
      <c r="E238" s="33"/>
      <c r="F238" s="34"/>
      <c r="G238" s="33"/>
      <c r="H238" s="33"/>
      <c r="I238" s="33"/>
      <c r="J238" s="33"/>
      <c r="L238" s="33"/>
      <c r="M238" s="33"/>
      <c r="N238" s="33"/>
      <c r="O238" s="33"/>
    </row>
    <row r="239" spans="5:15" ht="16.5">
      <c r="E239" s="33"/>
      <c r="F239" s="34"/>
      <c r="G239" s="33"/>
      <c r="H239" s="33"/>
      <c r="I239" s="33"/>
      <c r="J239" s="33"/>
      <c r="L239" s="33"/>
      <c r="M239" s="33"/>
      <c r="N239" s="33"/>
      <c r="O239" s="33"/>
    </row>
    <row r="240" spans="5:15" ht="16.5">
      <c r="E240" s="33"/>
      <c r="F240" s="34"/>
      <c r="G240" s="33"/>
      <c r="H240" s="33"/>
      <c r="I240" s="33"/>
      <c r="J240" s="33"/>
      <c r="L240" s="33"/>
      <c r="M240" s="33"/>
      <c r="N240" s="33"/>
      <c r="O240" s="33"/>
    </row>
    <row r="241" spans="5:15" ht="16.5">
      <c r="E241" s="33"/>
      <c r="F241" s="34"/>
      <c r="G241" s="33"/>
      <c r="H241" s="33"/>
      <c r="I241" s="33"/>
      <c r="J241" s="33"/>
      <c r="L241" s="33"/>
      <c r="M241" s="33"/>
      <c r="N241" s="33"/>
      <c r="O241" s="33"/>
    </row>
    <row r="242" spans="5:15" ht="16.5">
      <c r="E242" s="33"/>
      <c r="F242" s="34"/>
      <c r="G242" s="33"/>
      <c r="H242" s="33"/>
      <c r="I242" s="33"/>
      <c r="J242" s="33"/>
      <c r="L242" s="33"/>
      <c r="M242" s="33"/>
      <c r="N242" s="33"/>
      <c r="O242" s="33"/>
    </row>
    <row r="243" spans="5:15" ht="16.5">
      <c r="E243" s="33"/>
      <c r="F243" s="34"/>
      <c r="G243" s="33"/>
      <c r="H243" s="33"/>
      <c r="I243" s="33"/>
      <c r="J243" s="33"/>
      <c r="L243" s="33"/>
      <c r="M243" s="33"/>
      <c r="N243" s="33"/>
      <c r="O243" s="33"/>
    </row>
    <row r="244" spans="5:15" ht="16.5">
      <c r="E244" s="33"/>
      <c r="F244" s="34"/>
      <c r="G244" s="33"/>
      <c r="H244" s="33"/>
      <c r="I244" s="33"/>
      <c r="J244" s="33"/>
      <c r="L244" s="33"/>
      <c r="M244" s="33"/>
      <c r="N244" s="33"/>
      <c r="O244" s="33"/>
    </row>
    <row r="245" spans="5:15" ht="16.5">
      <c r="E245" s="33"/>
      <c r="F245" s="34"/>
      <c r="G245" s="33"/>
      <c r="H245" s="33"/>
      <c r="I245" s="33"/>
      <c r="J245" s="33"/>
      <c r="L245" s="33"/>
      <c r="M245" s="33"/>
      <c r="N245" s="33"/>
      <c r="O245" s="33"/>
    </row>
    <row r="246" spans="5:15" ht="16.5">
      <c r="E246" s="33"/>
      <c r="F246" s="34"/>
      <c r="G246" s="33"/>
      <c r="H246" s="33"/>
      <c r="I246" s="33"/>
      <c r="J246" s="33"/>
      <c r="L246" s="33"/>
      <c r="M246" s="33"/>
      <c r="N246" s="33"/>
      <c r="O246" s="33"/>
    </row>
    <row r="247" spans="5:15" ht="16.5">
      <c r="E247" s="33"/>
      <c r="F247" s="34"/>
      <c r="G247" s="33"/>
      <c r="H247" s="33"/>
      <c r="I247" s="33"/>
      <c r="J247" s="33"/>
      <c r="L247" s="33"/>
      <c r="M247" s="33"/>
      <c r="N247" s="33"/>
      <c r="O247" s="33"/>
    </row>
    <row r="248" spans="5:15" ht="16.5">
      <c r="E248" s="33"/>
      <c r="F248" s="34"/>
      <c r="G248" s="33"/>
      <c r="H248" s="33"/>
      <c r="I248" s="33"/>
      <c r="J248" s="33"/>
      <c r="L248" s="33"/>
      <c r="M248" s="33"/>
      <c r="N248" s="33"/>
      <c r="O248" s="33"/>
    </row>
    <row r="249" spans="5:15" ht="16.5">
      <c r="E249" s="33"/>
      <c r="F249" s="34"/>
      <c r="G249" s="33"/>
      <c r="H249" s="33"/>
      <c r="I249" s="33"/>
      <c r="J249" s="33"/>
      <c r="L249" s="33"/>
      <c r="M249" s="33"/>
      <c r="N249" s="33"/>
      <c r="O249" s="33"/>
    </row>
    <row r="250" spans="5:15" ht="16.5">
      <c r="E250" s="33"/>
      <c r="F250" s="34"/>
      <c r="G250" s="33"/>
      <c r="H250" s="33"/>
      <c r="I250" s="33"/>
      <c r="J250" s="33"/>
      <c r="L250" s="33"/>
      <c r="M250" s="33"/>
      <c r="N250" s="33"/>
      <c r="O250" s="33"/>
    </row>
    <row r="251" spans="5:15" ht="16.5">
      <c r="E251" s="33"/>
      <c r="F251" s="34"/>
      <c r="G251" s="33"/>
      <c r="H251" s="33"/>
      <c r="I251" s="33"/>
      <c r="J251" s="33"/>
      <c r="L251" s="33"/>
      <c r="M251" s="33"/>
      <c r="N251" s="33"/>
      <c r="O251" s="33"/>
    </row>
    <row r="252" spans="5:15" ht="16.5">
      <c r="E252" s="33"/>
      <c r="F252" s="34"/>
      <c r="G252" s="33"/>
      <c r="H252" s="33"/>
      <c r="I252" s="33"/>
      <c r="J252" s="33"/>
      <c r="L252" s="33"/>
      <c r="M252" s="33"/>
      <c r="N252" s="33"/>
      <c r="O252" s="33"/>
    </row>
    <row r="253" spans="5:15" ht="16.5">
      <c r="E253" s="33"/>
      <c r="F253" s="34"/>
      <c r="G253" s="33"/>
      <c r="H253" s="33"/>
      <c r="I253" s="33"/>
      <c r="J253" s="33"/>
      <c r="L253" s="33"/>
      <c r="M253" s="33"/>
      <c r="N253" s="33"/>
      <c r="O253" s="33"/>
    </row>
    <row r="254" spans="5:15" ht="16.5">
      <c r="E254" s="33"/>
      <c r="F254" s="34"/>
      <c r="G254" s="33"/>
      <c r="H254" s="33"/>
      <c r="I254" s="33"/>
      <c r="J254" s="33"/>
      <c r="L254" s="33"/>
      <c r="M254" s="33"/>
      <c r="N254" s="33"/>
      <c r="O254" s="33"/>
    </row>
    <row r="255" spans="5:15" ht="16.5">
      <c r="E255" s="33"/>
      <c r="F255" s="34"/>
      <c r="G255" s="33"/>
      <c r="H255" s="33"/>
      <c r="I255" s="33"/>
      <c r="J255" s="33"/>
      <c r="L255" s="33"/>
      <c r="M255" s="33"/>
      <c r="N255" s="33"/>
      <c r="O255" s="33"/>
    </row>
    <row r="256" spans="5:15" ht="16.5">
      <c r="E256" s="33"/>
      <c r="F256" s="34"/>
      <c r="G256" s="33"/>
      <c r="H256" s="33"/>
      <c r="I256" s="33"/>
      <c r="J256" s="33"/>
      <c r="L256" s="33"/>
      <c r="M256" s="33"/>
      <c r="N256" s="33"/>
      <c r="O256" s="33"/>
    </row>
    <row r="257" spans="5:15" ht="16.5">
      <c r="E257" s="33"/>
      <c r="F257" s="34"/>
      <c r="G257" s="33"/>
      <c r="H257" s="33"/>
      <c r="I257" s="33"/>
      <c r="J257" s="33"/>
      <c r="L257" s="33"/>
      <c r="M257" s="33"/>
      <c r="N257" s="33"/>
      <c r="O257" s="33"/>
    </row>
    <row r="258" spans="5:15" ht="16.5">
      <c r="E258" s="33"/>
      <c r="F258" s="34"/>
      <c r="G258" s="33"/>
      <c r="H258" s="33"/>
      <c r="I258" s="33"/>
      <c r="J258" s="33"/>
      <c r="L258" s="33"/>
      <c r="M258" s="33"/>
      <c r="N258" s="33"/>
      <c r="O258" s="33"/>
    </row>
    <row r="259" spans="5:15" ht="16.5">
      <c r="E259" s="33"/>
      <c r="F259" s="34"/>
      <c r="G259" s="33"/>
      <c r="H259" s="33"/>
      <c r="I259" s="33"/>
      <c r="J259" s="33"/>
      <c r="L259" s="33"/>
      <c r="M259" s="33"/>
      <c r="N259" s="33"/>
      <c r="O259" s="33"/>
    </row>
    <row r="260" spans="5:15" ht="16.5">
      <c r="E260" s="33"/>
      <c r="F260" s="34"/>
      <c r="G260" s="33"/>
      <c r="H260" s="33"/>
      <c r="I260" s="33"/>
      <c r="J260" s="33"/>
      <c r="L260" s="33"/>
      <c r="M260" s="33"/>
      <c r="N260" s="33"/>
      <c r="O260" s="33"/>
    </row>
    <row r="261" spans="5:15" ht="16.5">
      <c r="E261" s="33"/>
      <c r="F261" s="34"/>
      <c r="G261" s="33"/>
      <c r="H261" s="33"/>
      <c r="I261" s="33"/>
      <c r="J261" s="33"/>
      <c r="L261" s="33"/>
      <c r="M261" s="33"/>
      <c r="N261" s="33"/>
      <c r="O261" s="33"/>
    </row>
    <row r="262" spans="5:15" ht="16.5">
      <c r="E262" s="33"/>
      <c r="F262" s="34"/>
      <c r="G262" s="33"/>
      <c r="H262" s="33"/>
      <c r="I262" s="33"/>
      <c r="J262" s="33"/>
      <c r="L262" s="33"/>
      <c r="M262" s="33"/>
      <c r="N262" s="33"/>
      <c r="O262" s="33"/>
    </row>
    <row r="263" spans="5:15" ht="16.5">
      <c r="E263" s="33"/>
      <c r="F263" s="34"/>
      <c r="G263" s="33"/>
      <c r="H263" s="33"/>
      <c r="I263" s="33"/>
      <c r="J263" s="33"/>
      <c r="L263" s="33"/>
      <c r="M263" s="33"/>
      <c r="N263" s="33"/>
      <c r="O263" s="33"/>
    </row>
    <row r="264" spans="5:15" ht="16.5">
      <c r="E264" s="33"/>
      <c r="F264" s="34"/>
      <c r="G264" s="33"/>
      <c r="H264" s="33"/>
      <c r="I264" s="33"/>
      <c r="J264" s="33"/>
      <c r="L264" s="33"/>
      <c r="M264" s="33"/>
      <c r="N264" s="33"/>
      <c r="O264" s="33"/>
    </row>
    <row r="265" spans="5:15" ht="16.5">
      <c r="E265" s="33"/>
      <c r="F265" s="34"/>
      <c r="G265" s="33"/>
      <c r="H265" s="33"/>
      <c r="I265" s="33"/>
      <c r="J265" s="33"/>
      <c r="L265" s="33"/>
      <c r="M265" s="33"/>
      <c r="N265" s="33"/>
      <c r="O265" s="33"/>
    </row>
    <row r="266" spans="5:15" ht="16.5">
      <c r="E266" s="33"/>
      <c r="F266" s="34"/>
      <c r="G266" s="33"/>
      <c r="H266" s="33"/>
      <c r="I266" s="33"/>
      <c r="J266" s="33"/>
      <c r="L266" s="33"/>
      <c r="M266" s="33"/>
      <c r="N266" s="33"/>
      <c r="O266" s="33"/>
    </row>
    <row r="267" spans="5:15" ht="16.5">
      <c r="E267" s="33"/>
      <c r="F267" s="34"/>
      <c r="G267" s="33"/>
      <c r="H267" s="33"/>
      <c r="I267" s="33"/>
      <c r="J267" s="33"/>
      <c r="L267" s="33"/>
      <c r="M267" s="33"/>
      <c r="N267" s="33"/>
      <c r="O267" s="33"/>
    </row>
    <row r="268" spans="5:15" ht="16.5">
      <c r="E268" s="33"/>
      <c r="F268" s="34"/>
      <c r="G268" s="33"/>
      <c r="H268" s="33"/>
      <c r="I268" s="33"/>
      <c r="J268" s="33"/>
      <c r="L268" s="33"/>
      <c r="M268" s="33"/>
      <c r="N268" s="33"/>
      <c r="O268" s="33"/>
    </row>
    <row r="269" spans="5:15" ht="16.5">
      <c r="E269" s="33"/>
      <c r="F269" s="34"/>
      <c r="G269" s="33"/>
      <c r="H269" s="33"/>
      <c r="I269" s="33"/>
      <c r="J269" s="33"/>
      <c r="L269" s="33"/>
      <c r="M269" s="33"/>
      <c r="N269" s="33"/>
      <c r="O269" s="33"/>
    </row>
    <row r="270" spans="5:15" ht="16.5">
      <c r="E270" s="33"/>
      <c r="F270" s="34"/>
      <c r="G270" s="33"/>
      <c r="H270" s="33"/>
      <c r="I270" s="33"/>
      <c r="J270" s="33"/>
      <c r="L270" s="33"/>
      <c r="M270" s="33"/>
      <c r="N270" s="33"/>
      <c r="O270" s="33"/>
    </row>
    <row r="271" spans="5:15" ht="16.5">
      <c r="E271" s="33"/>
      <c r="F271" s="34"/>
      <c r="G271" s="33"/>
      <c r="H271" s="33"/>
      <c r="I271" s="33"/>
      <c r="J271" s="33"/>
      <c r="L271" s="33"/>
      <c r="M271" s="33"/>
      <c r="N271" s="33"/>
      <c r="O271" s="33"/>
    </row>
    <row r="272" spans="5:15" ht="16.5">
      <c r="E272" s="33"/>
      <c r="F272" s="34"/>
      <c r="G272" s="33"/>
      <c r="H272" s="33"/>
      <c r="I272" s="33"/>
      <c r="J272" s="33"/>
      <c r="L272" s="33"/>
      <c r="M272" s="33"/>
      <c r="N272" s="33"/>
      <c r="O272" s="33"/>
    </row>
    <row r="273" spans="5:15" ht="16.5">
      <c r="E273" s="33"/>
      <c r="F273" s="34"/>
      <c r="G273" s="33"/>
      <c r="H273" s="33"/>
      <c r="I273" s="33"/>
      <c r="J273" s="33"/>
      <c r="L273" s="33"/>
      <c r="M273" s="33"/>
      <c r="N273" s="33"/>
      <c r="O273" s="33"/>
    </row>
    <row r="274" spans="5:15" ht="16.5">
      <c r="E274" s="33"/>
      <c r="F274" s="34"/>
      <c r="G274" s="33"/>
      <c r="H274" s="33"/>
      <c r="I274" s="33"/>
      <c r="J274" s="33"/>
      <c r="L274" s="33"/>
      <c r="M274" s="33"/>
      <c r="N274" s="33"/>
      <c r="O274" s="33"/>
    </row>
    <row r="275" spans="5:15" ht="16.5">
      <c r="E275" s="33"/>
      <c r="F275" s="34"/>
      <c r="G275" s="33"/>
      <c r="H275" s="33"/>
      <c r="I275" s="33"/>
      <c r="J275" s="33"/>
      <c r="L275" s="33"/>
      <c r="M275" s="33"/>
      <c r="N275" s="33"/>
      <c r="O275" s="33"/>
    </row>
    <row r="276" spans="5:15" ht="16.5">
      <c r="E276" s="33"/>
      <c r="F276" s="34"/>
      <c r="G276" s="33"/>
      <c r="H276" s="33"/>
      <c r="I276" s="33"/>
      <c r="J276" s="33"/>
      <c r="L276" s="33"/>
      <c r="M276" s="33"/>
      <c r="N276" s="33"/>
      <c r="O276" s="33"/>
    </row>
    <row r="277" spans="5:15" ht="16.5">
      <c r="E277" s="33"/>
      <c r="F277" s="34"/>
      <c r="G277" s="33"/>
      <c r="H277" s="33"/>
      <c r="I277" s="33"/>
      <c r="J277" s="33"/>
      <c r="L277" s="33"/>
      <c r="M277" s="33"/>
      <c r="N277" s="33"/>
      <c r="O277" s="33"/>
    </row>
    <row r="278" spans="5:15" ht="16.5">
      <c r="E278" s="33"/>
      <c r="F278" s="34"/>
      <c r="G278" s="33"/>
      <c r="H278" s="33"/>
      <c r="I278" s="33"/>
      <c r="J278" s="33"/>
      <c r="L278" s="33"/>
      <c r="M278" s="33"/>
      <c r="N278" s="33"/>
      <c r="O278" s="33"/>
    </row>
    <row r="279" spans="5:15" ht="16.5">
      <c r="E279" s="33"/>
      <c r="F279" s="34"/>
      <c r="G279" s="33"/>
      <c r="H279" s="33"/>
      <c r="I279" s="33"/>
      <c r="J279" s="33"/>
      <c r="L279" s="33"/>
      <c r="M279" s="33"/>
      <c r="N279" s="33"/>
      <c r="O279" s="33"/>
    </row>
    <row r="280" spans="5:15" ht="16.5">
      <c r="E280" s="33"/>
      <c r="F280" s="34"/>
      <c r="G280" s="33"/>
      <c r="H280" s="33"/>
      <c r="I280" s="33"/>
      <c r="J280" s="33"/>
      <c r="L280" s="33"/>
      <c r="M280" s="33"/>
      <c r="N280" s="33"/>
      <c r="O280" s="33"/>
    </row>
    <row r="281" spans="5:15" ht="16.5">
      <c r="E281" s="33"/>
      <c r="F281" s="34"/>
      <c r="G281" s="33"/>
      <c r="H281" s="33"/>
      <c r="I281" s="33"/>
      <c r="J281" s="33"/>
      <c r="L281" s="33"/>
      <c r="M281" s="33"/>
      <c r="N281" s="33"/>
      <c r="O281" s="33"/>
    </row>
    <row r="282" spans="5:15" ht="16.5">
      <c r="E282" s="33"/>
      <c r="F282" s="34"/>
      <c r="G282" s="33"/>
      <c r="H282" s="33"/>
      <c r="I282" s="33"/>
      <c r="J282" s="33"/>
      <c r="L282" s="33"/>
      <c r="M282" s="33"/>
      <c r="N282" s="33"/>
      <c r="O282" s="33"/>
    </row>
    <row r="283" spans="5:15" ht="16.5">
      <c r="E283" s="33"/>
      <c r="F283" s="34"/>
      <c r="G283" s="33"/>
      <c r="H283" s="33"/>
      <c r="I283" s="33"/>
      <c r="J283" s="33"/>
      <c r="L283" s="33"/>
      <c r="M283" s="33"/>
      <c r="N283" s="33"/>
      <c r="O283" s="33"/>
    </row>
    <row r="284" spans="5:15" ht="16.5">
      <c r="E284" s="33"/>
      <c r="F284" s="34"/>
      <c r="G284" s="33"/>
      <c r="H284" s="33"/>
      <c r="I284" s="33"/>
      <c r="J284" s="33"/>
      <c r="L284" s="33"/>
      <c r="M284" s="33"/>
      <c r="N284" s="33"/>
      <c r="O284" s="33"/>
    </row>
    <row r="285" spans="5:15" ht="16.5">
      <c r="E285" s="33"/>
      <c r="F285" s="34"/>
      <c r="G285" s="33"/>
      <c r="H285" s="33"/>
      <c r="I285" s="33"/>
      <c r="J285" s="33"/>
      <c r="L285" s="33"/>
      <c r="M285" s="33"/>
      <c r="N285" s="33"/>
      <c r="O285" s="33"/>
    </row>
    <row r="286" spans="5:15" ht="16.5">
      <c r="E286" s="33"/>
      <c r="F286" s="34"/>
      <c r="G286" s="33"/>
      <c r="H286" s="33"/>
      <c r="I286" s="33"/>
      <c r="J286" s="33"/>
      <c r="L286" s="33"/>
      <c r="M286" s="33"/>
      <c r="N286" s="33"/>
      <c r="O286" s="33"/>
    </row>
    <row r="287" spans="5:15" ht="16.5">
      <c r="E287" s="33"/>
      <c r="F287" s="34"/>
      <c r="G287" s="33"/>
      <c r="H287" s="33"/>
      <c r="I287" s="33"/>
      <c r="J287" s="33"/>
      <c r="L287" s="33"/>
      <c r="M287" s="33"/>
      <c r="N287" s="33"/>
      <c r="O287" s="33"/>
    </row>
    <row r="288" spans="5:15" ht="16.5">
      <c r="E288" s="33"/>
      <c r="F288" s="34"/>
      <c r="G288" s="33"/>
      <c r="H288" s="33"/>
      <c r="I288" s="33"/>
      <c r="J288" s="33"/>
      <c r="L288" s="33"/>
      <c r="M288" s="33"/>
      <c r="N288" s="33"/>
      <c r="O288" s="33"/>
    </row>
    <row r="289" spans="5:15" ht="16.5">
      <c r="E289" s="33"/>
      <c r="F289" s="34"/>
      <c r="G289" s="33"/>
      <c r="H289" s="33"/>
      <c r="I289" s="33"/>
      <c r="J289" s="33"/>
      <c r="L289" s="33"/>
      <c r="M289" s="33"/>
      <c r="N289" s="33"/>
      <c r="O289" s="33"/>
    </row>
    <row r="290" spans="5:15" ht="16.5">
      <c r="E290" s="33"/>
      <c r="F290" s="34"/>
      <c r="G290" s="33"/>
      <c r="H290" s="33"/>
      <c r="I290" s="33"/>
      <c r="J290" s="33"/>
      <c r="L290" s="33"/>
      <c r="M290" s="33"/>
      <c r="N290" s="33"/>
      <c r="O290" s="33"/>
    </row>
    <row r="291" spans="5:15" ht="16.5">
      <c r="E291" s="33"/>
      <c r="F291" s="34"/>
      <c r="G291" s="33"/>
      <c r="H291" s="33"/>
      <c r="I291" s="33"/>
      <c r="J291" s="33"/>
      <c r="L291" s="33"/>
      <c r="M291" s="33"/>
      <c r="N291" s="33"/>
      <c r="O291" s="33"/>
    </row>
    <row r="292" spans="5:15" ht="16.5">
      <c r="E292" s="33"/>
      <c r="F292" s="34"/>
      <c r="G292" s="33"/>
      <c r="H292" s="33"/>
      <c r="I292" s="33"/>
      <c r="J292" s="33"/>
      <c r="L292" s="33"/>
      <c r="M292" s="33"/>
      <c r="N292" s="33"/>
      <c r="O292" s="33"/>
    </row>
    <row r="293" spans="5:15" ht="16.5">
      <c r="E293" s="33"/>
      <c r="F293" s="34"/>
      <c r="G293" s="33"/>
      <c r="H293" s="33"/>
      <c r="I293" s="33"/>
      <c r="J293" s="33"/>
      <c r="L293" s="33"/>
      <c r="M293" s="33"/>
      <c r="N293" s="33"/>
      <c r="O293" s="33"/>
    </row>
    <row r="294" spans="5:15" ht="16.5">
      <c r="E294" s="33"/>
      <c r="F294" s="34"/>
      <c r="G294" s="33"/>
      <c r="H294" s="33"/>
      <c r="I294" s="33"/>
      <c r="J294" s="33"/>
      <c r="L294" s="33"/>
      <c r="M294" s="33"/>
      <c r="N294" s="33"/>
      <c r="O294" s="33"/>
    </row>
    <row r="295" spans="5:15" ht="16.5">
      <c r="E295" s="33"/>
      <c r="F295" s="34"/>
      <c r="G295" s="33"/>
      <c r="H295" s="33"/>
      <c r="I295" s="33"/>
      <c r="J295" s="33"/>
      <c r="L295" s="33"/>
      <c r="M295" s="33"/>
      <c r="N295" s="33"/>
      <c r="O295" s="33"/>
    </row>
    <row r="296" spans="5:15" ht="16.5">
      <c r="E296" s="33"/>
      <c r="F296" s="34"/>
      <c r="G296" s="33"/>
      <c r="H296" s="33"/>
      <c r="I296" s="33"/>
      <c r="J296" s="33"/>
      <c r="L296" s="33"/>
      <c r="M296" s="33"/>
      <c r="N296" s="33"/>
      <c r="O296" s="33"/>
    </row>
    <row r="297" spans="5:15" ht="16.5">
      <c r="E297" s="33"/>
      <c r="F297" s="34"/>
      <c r="G297" s="33"/>
      <c r="H297" s="33"/>
      <c r="I297" s="33"/>
      <c r="J297" s="33"/>
      <c r="L297" s="33"/>
      <c r="M297" s="33"/>
      <c r="N297" s="33"/>
      <c r="O297" s="33"/>
    </row>
    <row r="298" spans="5:15" ht="16.5">
      <c r="E298" s="33"/>
      <c r="F298" s="34"/>
      <c r="G298" s="33"/>
      <c r="H298" s="33"/>
      <c r="I298" s="33"/>
      <c r="J298" s="33"/>
      <c r="L298" s="33"/>
      <c r="M298" s="33"/>
      <c r="N298" s="33"/>
      <c r="O298" s="33"/>
    </row>
    <row r="299" spans="5:15" ht="16.5">
      <c r="E299" s="33"/>
      <c r="F299" s="34"/>
      <c r="G299" s="33"/>
      <c r="H299" s="33"/>
      <c r="I299" s="33"/>
      <c r="J299" s="33"/>
      <c r="L299" s="33"/>
      <c r="M299" s="33"/>
      <c r="N299" s="33"/>
      <c r="O299" s="33"/>
    </row>
    <row r="300" spans="5:15" ht="16.5">
      <c r="E300" s="33"/>
      <c r="F300" s="34"/>
      <c r="G300" s="33"/>
      <c r="H300" s="33"/>
      <c r="I300" s="33"/>
      <c r="J300" s="33"/>
      <c r="L300" s="33"/>
      <c r="M300" s="33"/>
      <c r="N300" s="33"/>
      <c r="O300" s="33"/>
    </row>
    <row r="301" spans="5:15" ht="16.5">
      <c r="E301" s="33"/>
      <c r="F301" s="34"/>
      <c r="G301" s="33"/>
      <c r="H301" s="33"/>
      <c r="I301" s="33"/>
      <c r="J301" s="33"/>
      <c r="L301" s="33"/>
      <c r="M301" s="33"/>
      <c r="N301" s="33"/>
      <c r="O301" s="33"/>
    </row>
    <row r="302" spans="5:15" ht="16.5">
      <c r="E302" s="33"/>
      <c r="F302" s="34"/>
      <c r="G302" s="33"/>
      <c r="H302" s="33"/>
      <c r="I302" s="33"/>
      <c r="J302" s="33"/>
      <c r="L302" s="33"/>
      <c r="M302" s="33"/>
      <c r="N302" s="33"/>
      <c r="O302" s="33"/>
    </row>
    <row r="303" spans="5:15" ht="16.5">
      <c r="E303" s="33"/>
      <c r="F303" s="34"/>
      <c r="G303" s="33"/>
      <c r="H303" s="33"/>
      <c r="I303" s="33"/>
      <c r="J303" s="33"/>
      <c r="L303" s="33"/>
      <c r="M303" s="33"/>
      <c r="N303" s="33"/>
      <c r="O303" s="33"/>
    </row>
    <row r="304" spans="5:15" ht="16.5">
      <c r="E304" s="33"/>
      <c r="F304" s="34"/>
      <c r="G304" s="33"/>
      <c r="H304" s="33"/>
      <c r="I304" s="33"/>
      <c r="J304" s="33"/>
      <c r="L304" s="33"/>
      <c r="M304" s="33"/>
      <c r="N304" s="33"/>
      <c r="O304" s="33"/>
    </row>
    <row r="305" spans="5:15" ht="16.5">
      <c r="E305" s="33"/>
      <c r="F305" s="34"/>
      <c r="G305" s="33"/>
      <c r="H305" s="33"/>
      <c r="I305" s="33"/>
      <c r="J305" s="33"/>
      <c r="L305" s="33"/>
      <c r="M305" s="33"/>
      <c r="N305" s="33"/>
      <c r="O305" s="33"/>
    </row>
    <row r="306" spans="5:15" ht="16.5">
      <c r="E306" s="33"/>
      <c r="F306" s="34"/>
      <c r="G306" s="33"/>
      <c r="H306" s="33"/>
      <c r="I306" s="33"/>
      <c r="J306" s="33"/>
      <c r="L306" s="33"/>
      <c r="M306" s="33"/>
      <c r="N306" s="33"/>
      <c r="O306" s="33"/>
    </row>
    <row r="307" spans="5:15" ht="16.5">
      <c r="E307" s="33"/>
      <c r="F307" s="34"/>
      <c r="G307" s="33"/>
      <c r="H307" s="33"/>
      <c r="I307" s="33"/>
      <c r="J307" s="33"/>
      <c r="L307" s="33"/>
      <c r="M307" s="33"/>
      <c r="N307" s="33"/>
      <c r="O307" s="33"/>
    </row>
    <row r="308" spans="5:15" ht="16.5">
      <c r="E308" s="33"/>
      <c r="F308" s="34"/>
      <c r="G308" s="33"/>
      <c r="H308" s="33"/>
      <c r="I308" s="33"/>
      <c r="J308" s="33"/>
      <c r="L308" s="33"/>
      <c r="M308" s="33"/>
      <c r="N308" s="33"/>
      <c r="O308" s="33"/>
    </row>
    <row r="309" spans="5:15" ht="16.5">
      <c r="E309" s="33"/>
      <c r="F309" s="34"/>
      <c r="G309" s="33"/>
      <c r="H309" s="33"/>
      <c r="I309" s="33"/>
      <c r="J309" s="33"/>
      <c r="L309" s="33"/>
      <c r="M309" s="33"/>
      <c r="N309" s="33"/>
      <c r="O309" s="33"/>
    </row>
    <row r="310" spans="5:15" ht="16.5">
      <c r="E310" s="33"/>
      <c r="F310" s="34"/>
      <c r="G310" s="33"/>
      <c r="H310" s="33"/>
      <c r="I310" s="33"/>
      <c r="J310" s="33"/>
      <c r="L310" s="33"/>
      <c r="M310" s="33"/>
      <c r="N310" s="33"/>
      <c r="O310" s="33"/>
    </row>
    <row r="311" spans="5:15" ht="16.5">
      <c r="E311" s="33"/>
      <c r="F311" s="34"/>
      <c r="G311" s="33"/>
      <c r="H311" s="33"/>
      <c r="I311" s="33"/>
      <c r="J311" s="33"/>
      <c r="L311" s="33"/>
      <c r="M311" s="33"/>
      <c r="N311" s="33"/>
      <c r="O311" s="33"/>
    </row>
    <row r="312" spans="5:15" ht="16.5">
      <c r="E312" s="33"/>
      <c r="F312" s="34"/>
      <c r="G312" s="33"/>
      <c r="H312" s="33"/>
      <c r="I312" s="33"/>
      <c r="J312" s="33"/>
      <c r="L312" s="33"/>
      <c r="M312" s="33"/>
      <c r="N312" s="33"/>
      <c r="O312" s="33"/>
    </row>
    <row r="313" spans="5:15" ht="16.5">
      <c r="E313" s="33"/>
      <c r="F313" s="34"/>
      <c r="G313" s="33"/>
      <c r="H313" s="33"/>
      <c r="I313" s="33"/>
      <c r="J313" s="33"/>
      <c r="L313" s="33"/>
      <c r="M313" s="33"/>
      <c r="N313" s="33"/>
      <c r="O313" s="33"/>
    </row>
    <row r="314" spans="5:15" ht="16.5">
      <c r="E314" s="33"/>
      <c r="F314" s="34"/>
      <c r="G314" s="33"/>
      <c r="H314" s="33"/>
      <c r="I314" s="33"/>
      <c r="J314" s="33"/>
      <c r="L314" s="33"/>
      <c r="M314" s="33"/>
      <c r="N314" s="33"/>
      <c r="O314" s="33"/>
    </row>
    <row r="315" spans="5:15" ht="16.5">
      <c r="E315" s="33"/>
      <c r="F315" s="34"/>
      <c r="G315" s="33"/>
      <c r="H315" s="33"/>
      <c r="I315" s="33"/>
      <c r="J315" s="33"/>
      <c r="L315" s="33"/>
      <c r="M315" s="33"/>
      <c r="N315" s="33"/>
      <c r="O315" s="33"/>
    </row>
    <row r="316" spans="5:15" ht="16.5">
      <c r="E316" s="33"/>
      <c r="F316" s="34"/>
      <c r="G316" s="33"/>
      <c r="H316" s="33"/>
      <c r="I316" s="33"/>
      <c r="J316" s="33"/>
      <c r="L316" s="33"/>
      <c r="M316" s="33"/>
      <c r="N316" s="33"/>
      <c r="O316" s="33"/>
    </row>
    <row r="317" spans="5:15" ht="16.5">
      <c r="E317" s="33"/>
      <c r="F317" s="34"/>
      <c r="G317" s="33"/>
      <c r="H317" s="33"/>
      <c r="I317" s="33"/>
      <c r="J317" s="33"/>
      <c r="L317" s="33"/>
      <c r="M317" s="33"/>
      <c r="N317" s="33"/>
      <c r="O317" s="33"/>
    </row>
    <row r="318" spans="5:15" ht="16.5">
      <c r="E318" s="33"/>
      <c r="F318" s="34"/>
      <c r="G318" s="33"/>
      <c r="H318" s="33"/>
      <c r="I318" s="33"/>
      <c r="J318" s="33"/>
      <c r="L318" s="33"/>
      <c r="M318" s="33"/>
      <c r="N318" s="33"/>
      <c r="O318" s="33"/>
    </row>
    <row r="319" spans="5:15" ht="16.5">
      <c r="E319" s="33"/>
      <c r="F319" s="34"/>
      <c r="G319" s="33"/>
      <c r="H319" s="33"/>
      <c r="I319" s="33"/>
      <c r="J319" s="33"/>
      <c r="L319" s="33"/>
      <c r="M319" s="33"/>
      <c r="N319" s="33"/>
      <c r="O319" s="33"/>
    </row>
    <row r="320" spans="5:15" ht="16.5">
      <c r="E320" s="33"/>
      <c r="F320" s="34"/>
      <c r="G320" s="33"/>
      <c r="H320" s="33"/>
      <c r="I320" s="33"/>
      <c r="J320" s="33"/>
      <c r="L320" s="33"/>
      <c r="M320" s="33"/>
      <c r="N320" s="33"/>
      <c r="O320" s="33"/>
    </row>
    <row r="321" spans="5:15" ht="16.5">
      <c r="E321" s="33"/>
      <c r="F321" s="34"/>
      <c r="G321" s="33"/>
      <c r="H321" s="33"/>
      <c r="I321" s="33"/>
      <c r="J321" s="33"/>
      <c r="L321" s="33"/>
      <c r="M321" s="33"/>
      <c r="N321" s="33"/>
      <c r="O321" s="33"/>
    </row>
    <row r="322" spans="5:15" ht="16.5">
      <c r="E322" s="33"/>
      <c r="F322" s="34"/>
      <c r="G322" s="33"/>
      <c r="H322" s="33"/>
      <c r="I322" s="33"/>
      <c r="J322" s="33"/>
      <c r="L322" s="33"/>
      <c r="M322" s="33"/>
      <c r="N322" s="33"/>
      <c r="O322" s="33"/>
    </row>
    <row r="323" spans="5:15" ht="16.5">
      <c r="E323" s="33"/>
      <c r="F323" s="34"/>
      <c r="G323" s="33"/>
      <c r="H323" s="33"/>
      <c r="I323" s="33"/>
      <c r="J323" s="33"/>
      <c r="L323" s="33"/>
      <c r="M323" s="33"/>
      <c r="N323" s="33"/>
      <c r="O323" s="33"/>
    </row>
    <row r="324" spans="5:15" ht="16.5">
      <c r="E324" s="33"/>
      <c r="F324" s="34"/>
      <c r="G324" s="33"/>
      <c r="H324" s="33"/>
      <c r="I324" s="33"/>
      <c r="J324" s="33"/>
      <c r="L324" s="33"/>
      <c r="M324" s="33"/>
      <c r="N324" s="33"/>
      <c r="O324" s="33"/>
    </row>
    <row r="325" spans="5:15" ht="16.5">
      <c r="E325" s="33"/>
      <c r="F325" s="34"/>
      <c r="G325" s="33"/>
      <c r="H325" s="33"/>
      <c r="I325" s="33"/>
      <c r="J325" s="33"/>
      <c r="L325" s="33"/>
      <c r="M325" s="33"/>
      <c r="N325" s="33"/>
      <c r="O325" s="33"/>
    </row>
    <row r="326" spans="5:15" ht="16.5">
      <c r="E326" s="33"/>
      <c r="F326" s="34"/>
      <c r="G326" s="33"/>
      <c r="H326" s="33"/>
      <c r="I326" s="33"/>
      <c r="J326" s="33"/>
      <c r="L326" s="33"/>
      <c r="M326" s="33"/>
      <c r="N326" s="33"/>
      <c r="O326" s="33"/>
    </row>
    <row r="327" spans="5:15" ht="16.5">
      <c r="E327" s="33"/>
      <c r="F327" s="34"/>
      <c r="G327" s="33"/>
      <c r="H327" s="33"/>
      <c r="I327" s="33"/>
      <c r="J327" s="33"/>
      <c r="L327" s="33"/>
      <c r="M327" s="33"/>
      <c r="N327" s="33"/>
      <c r="O327" s="33"/>
    </row>
    <row r="328" spans="5:15" ht="16.5">
      <c r="E328" s="33"/>
      <c r="F328" s="34"/>
      <c r="G328" s="33"/>
      <c r="H328" s="33"/>
      <c r="I328" s="33"/>
      <c r="J328" s="33"/>
      <c r="L328" s="33"/>
      <c r="M328" s="33"/>
      <c r="N328" s="33"/>
      <c r="O328" s="33"/>
    </row>
    <row r="329" spans="5:15" ht="16.5">
      <c r="E329" s="33"/>
      <c r="F329" s="34"/>
      <c r="G329" s="33"/>
      <c r="H329" s="33"/>
      <c r="I329" s="33"/>
      <c r="J329" s="33"/>
      <c r="L329" s="33"/>
      <c r="M329" s="33"/>
      <c r="N329" s="33"/>
      <c r="O329" s="33"/>
    </row>
    <row r="330" spans="5:15" ht="16.5">
      <c r="E330" s="33"/>
      <c r="F330" s="34"/>
      <c r="G330" s="33"/>
      <c r="H330" s="33"/>
      <c r="I330" s="33"/>
      <c r="J330" s="33"/>
      <c r="L330" s="33"/>
      <c r="M330" s="33"/>
      <c r="N330" s="33"/>
      <c r="O330" s="33"/>
    </row>
    <row r="331" spans="5:15" ht="16.5">
      <c r="E331" s="33"/>
      <c r="F331" s="34"/>
      <c r="G331" s="33"/>
      <c r="H331" s="33"/>
      <c r="I331" s="33"/>
      <c r="J331" s="33"/>
      <c r="L331" s="33"/>
      <c r="M331" s="33"/>
      <c r="N331" s="33"/>
      <c r="O331" s="33"/>
    </row>
    <row r="332" spans="5:15" ht="16.5">
      <c r="E332" s="33"/>
      <c r="F332" s="34"/>
      <c r="G332" s="33"/>
      <c r="H332" s="33"/>
      <c r="I332" s="33"/>
      <c r="J332" s="33"/>
      <c r="L332" s="33"/>
      <c r="M332" s="33"/>
      <c r="N332" s="33"/>
      <c r="O332" s="33"/>
    </row>
    <row r="333" spans="5:15" ht="16.5">
      <c r="E333" s="33"/>
      <c r="F333" s="34"/>
      <c r="G333" s="33"/>
      <c r="H333" s="33"/>
      <c r="I333" s="33"/>
      <c r="J333" s="33"/>
      <c r="L333" s="33"/>
      <c r="M333" s="33"/>
      <c r="N333" s="33"/>
      <c r="O333" s="33"/>
    </row>
    <row r="334" spans="5:15" ht="16.5">
      <c r="E334" s="33"/>
      <c r="F334" s="34"/>
      <c r="G334" s="33"/>
      <c r="H334" s="33"/>
      <c r="I334" s="33"/>
      <c r="J334" s="33"/>
      <c r="L334" s="33"/>
      <c r="M334" s="33"/>
      <c r="N334" s="33"/>
      <c r="O334" s="33"/>
    </row>
    <row r="335" spans="5:15" ht="16.5">
      <c r="E335" s="33"/>
      <c r="F335" s="34"/>
      <c r="G335" s="33"/>
      <c r="H335" s="33"/>
      <c r="I335" s="33"/>
      <c r="J335" s="33"/>
      <c r="L335" s="33"/>
      <c r="M335" s="33"/>
      <c r="N335" s="33"/>
      <c r="O335" s="33"/>
    </row>
    <row r="336" spans="5:15" ht="16.5">
      <c r="E336" s="33"/>
      <c r="F336" s="34"/>
      <c r="G336" s="33"/>
      <c r="H336" s="33"/>
      <c r="I336" s="33"/>
      <c r="J336" s="33"/>
      <c r="L336" s="33"/>
      <c r="M336" s="33"/>
      <c r="N336" s="33"/>
      <c r="O336" s="33"/>
    </row>
    <row r="337" spans="5:15" ht="16.5">
      <c r="E337" s="33"/>
      <c r="F337" s="34"/>
      <c r="G337" s="33"/>
      <c r="H337" s="33"/>
      <c r="I337" s="33"/>
      <c r="J337" s="33"/>
      <c r="L337" s="33"/>
      <c r="M337" s="33"/>
      <c r="N337" s="33"/>
      <c r="O337" s="33"/>
    </row>
    <row r="338" spans="5:15" ht="16.5">
      <c r="E338" s="33"/>
      <c r="F338" s="34"/>
      <c r="G338" s="33"/>
      <c r="H338" s="33"/>
      <c r="I338" s="33"/>
      <c r="J338" s="33"/>
      <c r="L338" s="33"/>
      <c r="M338" s="33"/>
      <c r="N338" s="33"/>
      <c r="O338" s="33"/>
    </row>
    <row r="339" spans="5:15" ht="16.5">
      <c r="E339" s="33"/>
      <c r="F339" s="34"/>
      <c r="G339" s="33"/>
      <c r="H339" s="33"/>
      <c r="I339" s="33"/>
      <c r="J339" s="33"/>
      <c r="L339" s="33"/>
      <c r="M339" s="33"/>
      <c r="N339" s="33"/>
      <c r="O339" s="33"/>
    </row>
    <row r="340" spans="5:15" ht="16.5">
      <c r="E340" s="33"/>
      <c r="F340" s="34"/>
      <c r="G340" s="33"/>
      <c r="H340" s="33"/>
      <c r="I340" s="33"/>
      <c r="J340" s="33"/>
      <c r="L340" s="33"/>
      <c r="M340" s="33"/>
      <c r="N340" s="33"/>
      <c r="O340" s="33"/>
    </row>
    <row r="341" spans="5:15" ht="16.5">
      <c r="E341" s="33"/>
      <c r="F341" s="34"/>
      <c r="G341" s="33"/>
      <c r="H341" s="33"/>
      <c r="I341" s="33"/>
      <c r="J341" s="33"/>
      <c r="L341" s="33"/>
      <c r="M341" s="33"/>
      <c r="N341" s="33"/>
      <c r="O341" s="33"/>
    </row>
    <row r="342" spans="5:15" ht="16.5">
      <c r="E342" s="33"/>
      <c r="F342" s="34"/>
      <c r="G342" s="33"/>
      <c r="H342" s="33"/>
      <c r="I342" s="33"/>
      <c r="J342" s="33"/>
      <c r="L342" s="33"/>
      <c r="M342" s="33"/>
      <c r="N342" s="33"/>
      <c r="O342" s="33"/>
    </row>
    <row r="343" spans="5:15" ht="16.5">
      <c r="E343" s="33"/>
      <c r="F343" s="34"/>
      <c r="G343" s="33"/>
      <c r="H343" s="33"/>
      <c r="I343" s="33"/>
      <c r="J343" s="33"/>
      <c r="L343" s="33"/>
      <c r="M343" s="33"/>
      <c r="N343" s="33"/>
      <c r="O343" s="33"/>
    </row>
    <row r="344" spans="5:15" ht="16.5">
      <c r="E344" s="33"/>
      <c r="F344" s="34"/>
      <c r="G344" s="33"/>
      <c r="H344" s="33"/>
      <c r="I344" s="33"/>
      <c r="J344" s="33"/>
      <c r="L344" s="33"/>
      <c r="M344" s="33"/>
      <c r="N344" s="33"/>
      <c r="O344" s="33"/>
    </row>
    <row r="345" spans="5:15" ht="16.5">
      <c r="E345" s="33"/>
      <c r="F345" s="34"/>
      <c r="G345" s="33"/>
      <c r="H345" s="33"/>
      <c r="I345" s="33"/>
      <c r="J345" s="33"/>
      <c r="L345" s="33"/>
      <c r="M345" s="33"/>
      <c r="N345" s="33"/>
      <c r="O345" s="33"/>
    </row>
    <row r="346" spans="5:15" ht="16.5">
      <c r="E346" s="33"/>
      <c r="F346" s="34"/>
      <c r="G346" s="33"/>
      <c r="H346" s="33"/>
      <c r="I346" s="33"/>
      <c r="J346" s="33"/>
      <c r="L346" s="33"/>
      <c r="M346" s="33"/>
      <c r="N346" s="33"/>
      <c r="O346" s="33"/>
    </row>
    <row r="347" spans="5:15" ht="16.5">
      <c r="E347" s="33"/>
      <c r="F347" s="34"/>
      <c r="G347" s="33"/>
      <c r="H347" s="33"/>
      <c r="I347" s="33"/>
      <c r="J347" s="33"/>
      <c r="L347" s="33"/>
      <c r="M347" s="33"/>
      <c r="N347" s="33"/>
      <c r="O347" s="33"/>
    </row>
    <row r="348" spans="5:15" ht="16.5">
      <c r="E348" s="33"/>
      <c r="F348" s="34"/>
      <c r="G348" s="33"/>
      <c r="H348" s="33"/>
      <c r="I348" s="33"/>
      <c r="J348" s="33"/>
      <c r="L348" s="33"/>
      <c r="M348" s="33"/>
      <c r="N348" s="33"/>
      <c r="O348" s="33"/>
    </row>
    <row r="349" spans="5:15" ht="16.5">
      <c r="E349" s="33"/>
      <c r="F349" s="34"/>
      <c r="G349" s="33"/>
      <c r="H349" s="33"/>
      <c r="I349" s="33"/>
      <c r="J349" s="33"/>
      <c r="L349" s="33"/>
      <c r="M349" s="33"/>
      <c r="N349" s="33"/>
      <c r="O349" s="33"/>
    </row>
    <row r="350" spans="5:15" ht="16.5">
      <c r="E350" s="33"/>
      <c r="F350" s="34"/>
      <c r="G350" s="33"/>
      <c r="H350" s="33"/>
      <c r="I350" s="33"/>
      <c r="J350" s="33"/>
      <c r="L350" s="33"/>
      <c r="M350" s="33"/>
      <c r="N350" s="33"/>
      <c r="O350" s="33"/>
    </row>
    <row r="351" spans="5:15" ht="16.5">
      <c r="E351" s="33"/>
      <c r="F351" s="34"/>
      <c r="G351" s="33"/>
      <c r="H351" s="33"/>
      <c r="I351" s="33"/>
      <c r="J351" s="33"/>
      <c r="L351" s="33"/>
      <c r="M351" s="33"/>
      <c r="N351" s="33"/>
      <c r="O351" s="33"/>
    </row>
    <row r="352" spans="5:15" ht="16.5">
      <c r="E352" s="33"/>
      <c r="F352" s="34"/>
      <c r="G352" s="33"/>
      <c r="H352" s="33"/>
      <c r="I352" s="33"/>
      <c r="J352" s="33"/>
      <c r="L352" s="33"/>
      <c r="M352" s="33"/>
      <c r="N352" s="33"/>
      <c r="O352" s="33"/>
    </row>
    <row r="353" spans="5:15" ht="16.5">
      <c r="E353" s="33"/>
      <c r="F353" s="34"/>
      <c r="G353" s="33"/>
      <c r="H353" s="33"/>
      <c r="I353" s="33"/>
      <c r="J353" s="33"/>
      <c r="L353" s="33"/>
      <c r="M353" s="33"/>
      <c r="N353" s="33"/>
      <c r="O353" s="33"/>
    </row>
    <row r="354" spans="5:15" ht="16.5">
      <c r="E354" s="33"/>
      <c r="F354" s="34"/>
      <c r="G354" s="33"/>
      <c r="H354" s="33"/>
      <c r="I354" s="33"/>
      <c r="J354" s="33"/>
      <c r="L354" s="33"/>
      <c r="M354" s="33"/>
      <c r="N354" s="33"/>
      <c r="O354" s="33"/>
    </row>
    <row r="355" spans="5:15" ht="16.5">
      <c r="E355" s="33"/>
      <c r="F355" s="34"/>
      <c r="G355" s="33"/>
      <c r="H355" s="33"/>
      <c r="I355" s="33"/>
      <c r="J355" s="33"/>
      <c r="L355" s="33"/>
      <c r="M355" s="33"/>
      <c r="N355" s="33"/>
      <c r="O355" s="33"/>
    </row>
    <row r="356" spans="5:15" ht="16.5">
      <c r="E356" s="33"/>
      <c r="F356" s="34"/>
      <c r="G356" s="33"/>
      <c r="H356" s="33"/>
      <c r="I356" s="33"/>
      <c r="J356" s="33"/>
      <c r="L356" s="33"/>
      <c r="M356" s="33"/>
      <c r="N356" s="33"/>
      <c r="O356" s="33"/>
    </row>
    <row r="357" spans="5:15" ht="16.5">
      <c r="E357" s="33"/>
      <c r="F357" s="34"/>
      <c r="G357" s="33"/>
      <c r="H357" s="33"/>
      <c r="I357" s="33"/>
      <c r="J357" s="33"/>
      <c r="L357" s="33"/>
      <c r="M357" s="33"/>
      <c r="N357" s="33"/>
      <c r="O357" s="33"/>
    </row>
    <row r="358" spans="5:15" ht="16.5">
      <c r="E358" s="33"/>
      <c r="F358" s="34"/>
      <c r="G358" s="33"/>
      <c r="H358" s="33"/>
      <c r="I358" s="33"/>
      <c r="J358" s="33"/>
      <c r="L358" s="33"/>
      <c r="M358" s="33"/>
      <c r="N358" s="33"/>
      <c r="O358" s="33"/>
    </row>
    <row r="359" spans="5:15" ht="16.5">
      <c r="E359" s="33"/>
      <c r="F359" s="34"/>
      <c r="G359" s="33"/>
      <c r="H359" s="33"/>
      <c r="I359" s="33"/>
      <c r="J359" s="33"/>
      <c r="L359" s="33"/>
      <c r="M359" s="33"/>
      <c r="N359" s="33"/>
      <c r="O359" s="33"/>
    </row>
    <row r="360" spans="5:15" ht="16.5">
      <c r="E360" s="33"/>
      <c r="F360" s="34"/>
      <c r="G360" s="33"/>
      <c r="H360" s="33"/>
      <c r="I360" s="33"/>
      <c r="J360" s="33"/>
      <c r="L360" s="33"/>
      <c r="M360" s="33"/>
      <c r="N360" s="33"/>
      <c r="O360" s="33"/>
    </row>
    <row r="361" spans="5:15" ht="16.5">
      <c r="E361" s="33"/>
      <c r="F361" s="34"/>
      <c r="G361" s="33"/>
      <c r="H361" s="33"/>
      <c r="I361" s="33"/>
      <c r="J361" s="33"/>
      <c r="L361" s="33"/>
      <c r="M361" s="33"/>
      <c r="N361" s="33"/>
      <c r="O361" s="33"/>
    </row>
    <row r="362" spans="5:15" ht="16.5">
      <c r="E362" s="33"/>
      <c r="F362" s="34"/>
      <c r="G362" s="33"/>
      <c r="H362" s="33"/>
      <c r="I362" s="33"/>
      <c r="J362" s="33"/>
      <c r="L362" s="33"/>
      <c r="M362" s="33"/>
      <c r="N362" s="33"/>
      <c r="O362" s="33"/>
    </row>
    <row r="363" spans="5:15" ht="16.5">
      <c r="E363" s="33"/>
      <c r="F363" s="34"/>
      <c r="G363" s="33"/>
      <c r="H363" s="33"/>
      <c r="I363" s="33"/>
      <c r="J363" s="33"/>
      <c r="L363" s="33"/>
      <c r="M363" s="33"/>
      <c r="N363" s="33"/>
      <c r="O363" s="33"/>
    </row>
    <row r="364" spans="5:15" ht="16.5">
      <c r="E364" s="33"/>
      <c r="F364" s="34"/>
      <c r="G364" s="33"/>
      <c r="H364" s="33"/>
      <c r="I364" s="33"/>
      <c r="J364" s="33"/>
      <c r="L364" s="33"/>
      <c r="M364" s="33"/>
      <c r="N364" s="33"/>
      <c r="O364" s="33"/>
    </row>
    <row r="365" spans="5:15" ht="16.5">
      <c r="E365" s="33"/>
      <c r="F365" s="34"/>
      <c r="G365" s="33"/>
      <c r="H365" s="33"/>
      <c r="I365" s="33"/>
      <c r="J365" s="33"/>
      <c r="L365" s="33"/>
      <c r="M365" s="33"/>
      <c r="N365" s="33"/>
      <c r="O365" s="33"/>
    </row>
    <row r="366" spans="5:15" ht="16.5">
      <c r="E366" s="33"/>
      <c r="F366" s="34"/>
      <c r="G366" s="33"/>
      <c r="H366" s="33"/>
      <c r="I366" s="33"/>
      <c r="J366" s="33"/>
      <c r="L366" s="33"/>
      <c r="M366" s="33"/>
      <c r="N366" s="33"/>
      <c r="O366" s="33"/>
    </row>
    <row r="367" spans="5:15" ht="16.5">
      <c r="E367" s="33"/>
      <c r="F367" s="34"/>
      <c r="G367" s="33"/>
      <c r="H367" s="33"/>
      <c r="I367" s="33"/>
      <c r="J367" s="33"/>
      <c r="L367" s="33"/>
      <c r="M367" s="33"/>
      <c r="N367" s="33"/>
      <c r="O367" s="33"/>
    </row>
    <row r="368" spans="5:15" ht="16.5">
      <c r="E368" s="33"/>
      <c r="F368" s="34"/>
      <c r="G368" s="33"/>
      <c r="H368" s="33"/>
      <c r="I368" s="33"/>
      <c r="J368" s="33"/>
      <c r="L368" s="33"/>
      <c r="M368" s="33"/>
      <c r="N368" s="33"/>
      <c r="O368" s="33"/>
    </row>
    <row r="369" spans="5:15" ht="16.5">
      <c r="E369" s="33"/>
      <c r="F369" s="34"/>
      <c r="G369" s="33"/>
      <c r="H369" s="33"/>
      <c r="I369" s="33"/>
      <c r="J369" s="33"/>
      <c r="L369" s="33"/>
      <c r="M369" s="33"/>
      <c r="N369" s="33"/>
      <c r="O369" s="33"/>
    </row>
    <row r="370" spans="5:15" ht="16.5">
      <c r="E370" s="33"/>
      <c r="F370" s="34"/>
      <c r="G370" s="33"/>
      <c r="H370" s="33"/>
      <c r="I370" s="33"/>
      <c r="J370" s="33"/>
      <c r="L370" s="33"/>
      <c r="M370" s="33"/>
      <c r="N370" s="33"/>
      <c r="O370" s="33"/>
    </row>
    <row r="371" spans="5:15" ht="16.5">
      <c r="E371" s="33"/>
      <c r="F371" s="34"/>
      <c r="G371" s="33"/>
      <c r="H371" s="33"/>
      <c r="I371" s="33"/>
      <c r="J371" s="33"/>
      <c r="L371" s="33"/>
      <c r="M371" s="33"/>
      <c r="N371" s="33"/>
      <c r="O371" s="33"/>
    </row>
    <row r="372" spans="5:15" ht="16.5">
      <c r="E372" s="33"/>
      <c r="F372" s="34"/>
      <c r="G372" s="33"/>
      <c r="H372" s="33"/>
      <c r="I372" s="33"/>
      <c r="J372" s="33"/>
      <c r="L372" s="33"/>
      <c r="M372" s="33"/>
      <c r="N372" s="33"/>
      <c r="O372" s="33"/>
    </row>
    <row r="373" spans="5:15" ht="16.5">
      <c r="E373" s="33"/>
      <c r="F373" s="34"/>
      <c r="G373" s="33"/>
      <c r="H373" s="33"/>
      <c r="I373" s="33"/>
      <c r="J373" s="33"/>
      <c r="L373" s="33"/>
      <c r="M373" s="33"/>
      <c r="N373" s="33"/>
      <c r="O373" s="33"/>
    </row>
    <row r="374" spans="5:15" ht="16.5">
      <c r="E374" s="33"/>
      <c r="F374" s="34"/>
      <c r="G374" s="33"/>
      <c r="H374" s="33"/>
      <c r="I374" s="33"/>
      <c r="J374" s="33"/>
      <c r="L374" s="33"/>
      <c r="M374" s="33"/>
      <c r="N374" s="33"/>
      <c r="O374" s="33"/>
    </row>
  </sheetData>
  <mergeCells count="34">
    <mergeCell ref="A9:C9"/>
    <mergeCell ref="A10:C10"/>
    <mergeCell ref="A5:C5"/>
    <mergeCell ref="A6:C6"/>
    <mergeCell ref="A7:C7"/>
    <mergeCell ref="A8:C8"/>
    <mergeCell ref="A22:C22"/>
    <mergeCell ref="A23:C23"/>
    <mergeCell ref="A24:C24"/>
    <mergeCell ref="H19:J20"/>
    <mergeCell ref="A29:C29"/>
    <mergeCell ref="A26:C26"/>
    <mergeCell ref="A27:C27"/>
    <mergeCell ref="A25:C25"/>
    <mergeCell ref="A13:C13"/>
    <mergeCell ref="A14:C14"/>
    <mergeCell ref="A20:C20"/>
    <mergeCell ref="A21:C21"/>
    <mergeCell ref="A15:C15"/>
    <mergeCell ref="A17:C17"/>
    <mergeCell ref="A30:C30"/>
    <mergeCell ref="P35:Q35"/>
    <mergeCell ref="A32:C32"/>
    <mergeCell ref="A33:C33"/>
    <mergeCell ref="AD38:AH38"/>
    <mergeCell ref="A34:C34"/>
    <mergeCell ref="A35:C35"/>
    <mergeCell ref="A38:E38"/>
    <mergeCell ref="T38:X38"/>
    <mergeCell ref="Y38:AC38"/>
    <mergeCell ref="F38:J38"/>
    <mergeCell ref="T37:AC37"/>
    <mergeCell ref="K38:P38"/>
    <mergeCell ref="P34:Q3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r:id="rId5"/>
  <headerFooter alignWithMargins="0">
    <oddFooter>&amp;L&amp;8MNW file &amp;F sheet &amp;A&amp;C&amp;8&amp;P&amp;R&amp;8printed at &amp;T on &amp;D</oddFooter>
  </headerFooter>
  <drawing r:id="rId4"/>
  <legacyDrawing r:id="rId3"/>
  <oleObjects>
    <oleObject progId="Mathcad" shapeId="26005711" r:id="rId1"/>
    <oleObject progId="Equation.3" shapeId="2600571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CF374"/>
  <sheetViews>
    <sheetView workbookViewId="0" topLeftCell="S89">
      <selection activeCell="AC102" sqref="Y40:AC102"/>
    </sheetView>
  </sheetViews>
  <sheetFormatPr defaultColWidth="9.140625" defaultRowHeight="12.75"/>
  <cols>
    <col min="1" max="1" width="5.7109375" style="2" customWidth="1"/>
    <col min="2" max="2" width="7.421875" style="2" customWidth="1"/>
    <col min="3" max="3" width="6.8515625" style="11" customWidth="1"/>
    <col min="4" max="4" width="6.7109375" style="5" customWidth="1"/>
    <col min="5" max="5" width="9.28125" style="3" customWidth="1"/>
    <col min="6" max="6" width="6.57421875" style="5" customWidth="1"/>
    <col min="7" max="7" width="8.140625" style="2" customWidth="1"/>
    <col min="8" max="8" width="7.00390625" style="2" customWidth="1"/>
    <col min="9" max="9" width="6.8515625" style="2" customWidth="1"/>
    <col min="10" max="10" width="8.28125" style="2" customWidth="1"/>
    <col min="11" max="11" width="6.7109375" style="11" customWidth="1"/>
    <col min="12" max="12" width="8.57421875" style="2" customWidth="1"/>
    <col min="13" max="13" width="7.28125" style="2" customWidth="1"/>
    <col min="14" max="14" width="7.8515625" style="2" customWidth="1"/>
    <col min="15" max="15" width="7.140625" style="2" customWidth="1"/>
    <col min="16" max="16" width="7.28125" style="4" customWidth="1"/>
    <col min="17" max="17" width="7.7109375" style="18" customWidth="1"/>
    <col min="18" max="18" width="7.57421875" style="30" customWidth="1"/>
    <col min="19" max="19" width="2.140625" style="30" customWidth="1"/>
    <col min="20" max="20" width="7.28125" style="30" customWidth="1"/>
    <col min="21" max="21" width="7.421875" style="30" customWidth="1"/>
    <col min="22" max="22" width="8.28125" style="30" customWidth="1"/>
    <col min="23" max="23" width="7.7109375" style="30" customWidth="1"/>
    <col min="24" max="27" width="8.00390625" style="30" bestFit="1" customWidth="1"/>
    <col min="28" max="28" width="7.7109375" style="30" customWidth="1"/>
    <col min="29" max="29" width="7.140625" style="0" customWidth="1"/>
    <col min="30" max="33" width="5.8515625" style="0" customWidth="1"/>
    <col min="34" max="75" width="8.7109375" style="0" customWidth="1"/>
    <col min="76" max="16384" width="8.7109375" style="2" customWidth="1"/>
  </cols>
  <sheetData>
    <row r="1" spans="1:16" ht="16.5">
      <c r="A1" s="5" t="s">
        <v>205</v>
      </c>
      <c r="C1" s="14"/>
      <c r="D1" s="1"/>
      <c r="E1" s="1"/>
      <c r="F1" s="1"/>
      <c r="G1" s="17"/>
      <c r="H1" s="5"/>
      <c r="I1" s="19"/>
      <c r="J1" s="163" t="s">
        <v>199</v>
      </c>
      <c r="K1" s="14">
        <f>E29</f>
        <v>3.0799600104546636</v>
      </c>
      <c r="L1" s="1" t="s">
        <v>200</v>
      </c>
      <c r="M1" s="164" t="s">
        <v>201</v>
      </c>
      <c r="N1" s="14">
        <f>E35</f>
        <v>4</v>
      </c>
      <c r="O1" s="1" t="s">
        <v>52</v>
      </c>
      <c r="P1" s="2"/>
    </row>
    <row r="2" spans="1:16" ht="21.75" customHeight="1">
      <c r="A2" s="5" t="s">
        <v>195</v>
      </c>
      <c r="C2" s="14"/>
      <c r="D2" s="1"/>
      <c r="E2" s="1"/>
      <c r="F2" s="1"/>
      <c r="G2" s="17"/>
      <c r="H2" s="5"/>
      <c r="I2" s="19"/>
      <c r="K2" s="123"/>
      <c r="L2" s="5"/>
      <c r="M2" s="5"/>
      <c r="P2" s="2"/>
    </row>
    <row r="3" spans="1:10" ht="16.5">
      <c r="A3" s="5" t="s">
        <v>198</v>
      </c>
      <c r="I3" s="10"/>
      <c r="J3" s="10" t="s">
        <v>111</v>
      </c>
    </row>
    <row r="4" spans="1:9" ht="15" customHeight="1">
      <c r="A4" s="5" t="s">
        <v>196</v>
      </c>
      <c r="H4" s="5"/>
      <c r="I4" s="10"/>
    </row>
    <row r="5" spans="1:10" ht="24" customHeight="1">
      <c r="A5" s="181" t="s">
        <v>0</v>
      </c>
      <c r="B5" s="182"/>
      <c r="C5" s="182"/>
      <c r="D5" s="5" t="s">
        <v>140</v>
      </c>
      <c r="E5" s="3">
        <f>0.00973/2</f>
        <v>0.004865</v>
      </c>
      <c r="F5" s="5" t="s">
        <v>7</v>
      </c>
      <c r="J5" s="10" t="s">
        <v>112</v>
      </c>
    </row>
    <row r="6" spans="1:12" ht="16.5">
      <c r="A6" s="181" t="s">
        <v>1</v>
      </c>
      <c r="B6" s="182"/>
      <c r="C6" s="182"/>
      <c r="D6" s="5" t="s">
        <v>3</v>
      </c>
      <c r="E6" s="3">
        <f>0.001166/2</f>
        <v>0.000583</v>
      </c>
      <c r="F6" s="5" t="s">
        <v>7</v>
      </c>
      <c r="H6" s="5"/>
      <c r="I6" s="10"/>
      <c r="L6" s="2" t="s">
        <v>16</v>
      </c>
    </row>
    <row r="7" spans="1:6" ht="16.5">
      <c r="A7" s="181" t="s">
        <v>2</v>
      </c>
      <c r="B7" s="182"/>
      <c r="C7" s="182"/>
      <c r="D7" s="5" t="s">
        <v>4</v>
      </c>
      <c r="E7" s="3">
        <v>0.074</v>
      </c>
      <c r="F7" s="5" t="s">
        <v>7</v>
      </c>
    </row>
    <row r="8" spans="1:10" ht="16.5" customHeight="1">
      <c r="A8" s="181" t="s">
        <v>5</v>
      </c>
      <c r="B8" s="182"/>
      <c r="C8" s="182"/>
      <c r="D8" s="5" t="s">
        <v>6</v>
      </c>
      <c r="E8" s="3">
        <v>0.0625</v>
      </c>
      <c r="F8" s="2" t="s">
        <v>8</v>
      </c>
      <c r="H8" s="48"/>
      <c r="I8" s="36"/>
      <c r="J8" s="10" t="s">
        <v>113</v>
      </c>
    </row>
    <row r="9" spans="1:9" ht="16.5">
      <c r="A9" s="181" t="s">
        <v>11</v>
      </c>
      <c r="B9" s="182"/>
      <c r="C9" s="182"/>
      <c r="D9" s="5" t="s">
        <v>12</v>
      </c>
      <c r="E9" s="3">
        <v>6.4E-05</v>
      </c>
      <c r="F9" s="2" t="s">
        <v>8</v>
      </c>
      <c r="H9" s="49"/>
      <c r="I9" s="36"/>
    </row>
    <row r="10" spans="1:8" ht="16.5">
      <c r="A10" s="181" t="s">
        <v>9</v>
      </c>
      <c r="B10" s="182"/>
      <c r="C10" s="182"/>
      <c r="D10" s="5" t="s">
        <v>10</v>
      </c>
      <c r="E10" s="18">
        <v>30</v>
      </c>
      <c r="H10" s="5" t="s">
        <v>114</v>
      </c>
    </row>
    <row r="11" spans="1:8" ht="18">
      <c r="A11" s="5" t="s">
        <v>191</v>
      </c>
      <c r="B11" s="6"/>
      <c r="C11" s="6"/>
      <c r="D11" s="5" t="s">
        <v>192</v>
      </c>
      <c r="E11" s="139">
        <v>0.324</v>
      </c>
      <c r="F11" s="5" t="s">
        <v>197</v>
      </c>
      <c r="H11" s="5"/>
    </row>
    <row r="12" spans="1:12" ht="18">
      <c r="A12" s="5" t="s">
        <v>193</v>
      </c>
      <c r="B12" s="6"/>
      <c r="C12" s="6"/>
      <c r="D12" s="5" t="s">
        <v>194</v>
      </c>
      <c r="E12" s="139">
        <v>0.2455</v>
      </c>
      <c r="H12" s="5" t="s">
        <v>135</v>
      </c>
      <c r="L12" s="8"/>
    </row>
    <row r="13" spans="1:8" ht="18">
      <c r="A13" s="181" t="s">
        <v>203</v>
      </c>
      <c r="B13" s="182"/>
      <c r="C13" s="182"/>
      <c r="D13" s="7" t="s">
        <v>204</v>
      </c>
      <c r="E13" s="3">
        <f>4*PI()*10^-7</f>
        <v>1.2566370614359173E-06</v>
      </c>
      <c r="F13" s="5" t="s">
        <v>14</v>
      </c>
      <c r="H13" s="22"/>
    </row>
    <row r="14" spans="1:8" ht="16.5">
      <c r="A14" s="181" t="s">
        <v>17</v>
      </c>
      <c r="B14" s="182"/>
      <c r="C14" s="182"/>
      <c r="D14" s="7" t="s">
        <v>58</v>
      </c>
      <c r="E14" s="4">
        <v>0.826</v>
      </c>
      <c r="H14" s="22"/>
    </row>
    <row r="15" spans="1:8" ht="16.5">
      <c r="A15" s="181" t="s">
        <v>18</v>
      </c>
      <c r="B15" s="182"/>
      <c r="C15" s="182"/>
      <c r="D15" s="7" t="s">
        <v>19</v>
      </c>
      <c r="E15" s="4">
        <v>0.872</v>
      </c>
      <c r="H15" s="5" t="s">
        <v>115</v>
      </c>
    </row>
    <row r="16" spans="1:5" ht="16.5">
      <c r="A16" s="5" t="s">
        <v>69</v>
      </c>
      <c r="B16" s="6"/>
      <c r="C16" s="6"/>
      <c r="D16" s="5" t="s">
        <v>70</v>
      </c>
      <c r="E16" s="4">
        <v>2.24</v>
      </c>
    </row>
    <row r="17" spans="1:8" ht="16.5">
      <c r="A17" s="181" t="s">
        <v>20</v>
      </c>
      <c r="B17" s="182"/>
      <c r="C17" s="182"/>
      <c r="D17" s="7" t="s">
        <v>59</v>
      </c>
      <c r="E17" s="4">
        <f>1/(1+E16)</f>
        <v>0.30864197530864196</v>
      </c>
      <c r="H17" s="5" t="s">
        <v>136</v>
      </c>
    </row>
    <row r="18" spans="1:75" ht="18.75">
      <c r="A18" s="5" t="s">
        <v>122</v>
      </c>
      <c r="B18" s="36"/>
      <c r="C18" s="36"/>
      <c r="D18" s="25" t="s">
        <v>124</v>
      </c>
      <c r="E18" s="3">
        <v>1.24E-10</v>
      </c>
      <c r="F18" s="5" t="s">
        <v>13</v>
      </c>
      <c r="L18" s="47"/>
      <c r="N18" s="4"/>
      <c r="P18" s="30"/>
      <c r="Q18" s="40"/>
      <c r="AA18"/>
      <c r="AB18"/>
      <c r="BV18" s="2"/>
      <c r="BW18" s="2"/>
    </row>
    <row r="19" spans="1:75" ht="18.75">
      <c r="A19" s="5" t="s">
        <v>123</v>
      </c>
      <c r="B19" s="36"/>
      <c r="C19" s="36"/>
      <c r="D19" s="25" t="s">
        <v>125</v>
      </c>
      <c r="E19" s="3">
        <v>9E-11</v>
      </c>
      <c r="F19" s="5" t="s">
        <v>121</v>
      </c>
      <c r="H19" s="183" t="s">
        <v>92</v>
      </c>
      <c r="I19" s="184"/>
      <c r="J19" s="185"/>
      <c r="L19" s="47"/>
      <c r="N19" s="4"/>
      <c r="P19" s="30"/>
      <c r="Q19" s="40"/>
      <c r="AA19"/>
      <c r="AB19"/>
      <c r="BV19" s="2"/>
      <c r="BW19" s="2"/>
    </row>
    <row r="20" spans="1:76" ht="18.75">
      <c r="A20" s="181" t="s">
        <v>45</v>
      </c>
      <c r="B20" s="182"/>
      <c r="C20" s="182"/>
      <c r="D20" s="9" t="s">
        <v>126</v>
      </c>
      <c r="E20" s="3">
        <v>0.004</v>
      </c>
      <c r="F20" s="2" t="s">
        <v>7</v>
      </c>
      <c r="H20" s="184"/>
      <c r="I20" s="184"/>
      <c r="J20" s="185"/>
      <c r="K20" s="32"/>
      <c r="L20" s="11"/>
      <c r="M20" s="5"/>
      <c r="O20" s="103" t="s">
        <v>160</v>
      </c>
      <c r="P20" s="103" t="s">
        <v>161</v>
      </c>
      <c r="Q20" s="104" t="s">
        <v>163</v>
      </c>
      <c r="R20" s="117" t="s">
        <v>169</v>
      </c>
      <c r="AC20" s="30"/>
      <c r="BX20"/>
    </row>
    <row r="21" spans="1:76" ht="18.75">
      <c r="A21" s="181" t="s">
        <v>34</v>
      </c>
      <c r="B21" s="182"/>
      <c r="C21" s="182"/>
      <c r="D21" s="9" t="s">
        <v>127</v>
      </c>
      <c r="E21" s="3">
        <v>6.02E-06</v>
      </c>
      <c r="F21" s="5" t="s">
        <v>7</v>
      </c>
      <c r="K21" s="2"/>
      <c r="L21" s="123"/>
      <c r="O21" s="105" t="s">
        <v>159</v>
      </c>
      <c r="P21" s="105" t="s">
        <v>159</v>
      </c>
      <c r="Q21" s="106" t="s">
        <v>164</v>
      </c>
      <c r="R21" s="118" t="s">
        <v>170</v>
      </c>
      <c r="AC21" s="30"/>
      <c r="BX21"/>
    </row>
    <row r="22" spans="1:78" ht="18.75">
      <c r="A22" s="181" t="s">
        <v>137</v>
      </c>
      <c r="B22" s="182"/>
      <c r="C22" s="182"/>
      <c r="D22" s="9" t="s">
        <v>60</v>
      </c>
      <c r="E22" s="3">
        <v>35000000000</v>
      </c>
      <c r="F22" s="5" t="s">
        <v>40</v>
      </c>
      <c r="G22" s="3"/>
      <c r="H22" s="5" t="s">
        <v>43</v>
      </c>
      <c r="K22" s="2"/>
      <c r="L22" s="11"/>
      <c r="O22" s="113" t="s">
        <v>162</v>
      </c>
      <c r="P22" s="113" t="s">
        <v>162</v>
      </c>
      <c r="Q22" s="114" t="s">
        <v>85</v>
      </c>
      <c r="R22" s="119" t="s">
        <v>171</v>
      </c>
      <c r="S22" s="2"/>
      <c r="T22" s="2"/>
      <c r="AC22" s="30"/>
      <c r="AD22" s="30"/>
      <c r="AE22" s="30"/>
      <c r="BX22"/>
      <c r="BY22"/>
      <c r="BZ22"/>
    </row>
    <row r="23" spans="1:78" ht="18.75">
      <c r="A23" s="181" t="s">
        <v>137</v>
      </c>
      <c r="B23" s="182"/>
      <c r="C23" s="182"/>
      <c r="D23" s="9" t="s">
        <v>61</v>
      </c>
      <c r="E23" s="4">
        <v>0.148519435587142</v>
      </c>
      <c r="F23" s="5" t="s">
        <v>21</v>
      </c>
      <c r="H23" s="2" t="s">
        <v>44</v>
      </c>
      <c r="I23" s="2" t="s">
        <v>62</v>
      </c>
      <c r="J23" s="2" t="s">
        <v>63</v>
      </c>
      <c r="K23" s="2"/>
      <c r="L23" s="11"/>
      <c r="M23" s="108"/>
      <c r="N23" s="109" t="s">
        <v>202</v>
      </c>
      <c r="O23" s="132">
        <f>K109*4*J28</f>
        <v>0.2061410034764147</v>
      </c>
      <c r="P23" s="105"/>
      <c r="Q23" s="106">
        <f aca="true" t="shared" si="0" ref="Q23:Q30">O23*2*E$34</f>
        <v>0.31745302361117655</v>
      </c>
      <c r="R23" s="115">
        <f aca="true" t="shared" si="1" ref="R23:R28">Q23/Q$30</f>
        <v>0.005029740417660922</v>
      </c>
      <c r="S23" s="2"/>
      <c r="T23" s="2"/>
      <c r="AC23" s="30"/>
      <c r="AD23" s="30"/>
      <c r="AE23" s="30"/>
      <c r="BX23"/>
      <c r="BY23"/>
      <c r="BZ23"/>
    </row>
    <row r="24" spans="1:77" ht="18.75">
      <c r="A24" s="181" t="s">
        <v>137</v>
      </c>
      <c r="B24" s="182"/>
      <c r="C24" s="182"/>
      <c r="D24" s="9" t="s">
        <v>64</v>
      </c>
      <c r="E24" s="3">
        <v>5000000000</v>
      </c>
      <c r="F24" s="5" t="s">
        <v>40</v>
      </c>
      <c r="H24" s="2">
        <v>1</v>
      </c>
      <c r="I24" s="15">
        <v>0</v>
      </c>
      <c r="J24" s="15">
        <v>15.673373548625944</v>
      </c>
      <c r="K24" s="15"/>
      <c r="L24" s="11"/>
      <c r="M24" s="78"/>
      <c r="N24" s="110" t="s">
        <v>168</v>
      </c>
      <c r="O24" s="132">
        <f>L109*4*J28</f>
        <v>10.690973985439909</v>
      </c>
      <c r="P24" s="105"/>
      <c r="Q24" s="106">
        <f t="shared" si="0"/>
        <v>16.46388617398302</v>
      </c>
      <c r="R24" s="115">
        <f t="shared" si="1"/>
        <v>0.26085457551816427</v>
      </c>
      <c r="S24" s="2"/>
      <c r="T24" s="2"/>
      <c r="AC24" s="30"/>
      <c r="AD24" s="30"/>
      <c r="AE24" s="30"/>
      <c r="BX24"/>
      <c r="BY24"/>
    </row>
    <row r="25" spans="1:77" ht="18.75">
      <c r="A25" s="181" t="s">
        <v>137</v>
      </c>
      <c r="B25" s="182"/>
      <c r="C25" s="182"/>
      <c r="D25" s="9" t="s">
        <v>65</v>
      </c>
      <c r="E25" s="3">
        <v>-700000000</v>
      </c>
      <c r="F25" s="5" t="s">
        <v>47</v>
      </c>
      <c r="H25" s="2">
        <v>2</v>
      </c>
      <c r="I25" s="15">
        <v>17.081863443783423</v>
      </c>
      <c r="J25" s="15">
        <v>36.23820889210402</v>
      </c>
      <c r="K25" s="15"/>
      <c r="L25" s="11"/>
      <c r="M25" s="78"/>
      <c r="N25" s="111" t="s">
        <v>165</v>
      </c>
      <c r="O25" s="132">
        <f>M109*4*J28</f>
        <v>0.1558415301125444</v>
      </c>
      <c r="P25" s="107"/>
      <c r="Q25" s="106">
        <f t="shared" si="0"/>
        <v>0.2399928403573515</v>
      </c>
      <c r="R25" s="115">
        <f t="shared" si="1"/>
        <v>0.003802457684489094</v>
      </c>
      <c r="S25" s="2"/>
      <c r="T25"/>
      <c r="AC25" s="30"/>
      <c r="AD25" s="30"/>
      <c r="AE25" s="30"/>
      <c r="BX25"/>
      <c r="BY25"/>
    </row>
    <row r="26" spans="1:77" ht="18.75">
      <c r="A26" s="181" t="s">
        <v>39</v>
      </c>
      <c r="B26" s="182"/>
      <c r="C26" s="182"/>
      <c r="D26" s="9" t="s">
        <v>138</v>
      </c>
      <c r="E26" s="3">
        <v>32000000000</v>
      </c>
      <c r="F26" s="5" t="s">
        <v>40</v>
      </c>
      <c r="H26" s="2">
        <v>3</v>
      </c>
      <c r="I26" s="15">
        <v>41.284249216564326</v>
      </c>
      <c r="J26" s="15">
        <v>55.21613681534294</v>
      </c>
      <c r="K26" s="15"/>
      <c r="L26" s="11"/>
      <c r="M26" s="112"/>
      <c r="N26" s="110" t="s">
        <v>166</v>
      </c>
      <c r="O26" s="132">
        <f>N109*4*J28</f>
        <v>11.670318084666588</v>
      </c>
      <c r="P26" s="105"/>
      <c r="Q26" s="106">
        <f t="shared" si="0"/>
        <v>17.972056505029478</v>
      </c>
      <c r="R26" s="115">
        <f t="shared" si="1"/>
        <v>0.2847500961356417</v>
      </c>
      <c r="S26" s="2"/>
      <c r="T26"/>
      <c r="AC26" s="30"/>
      <c r="AD26" s="30"/>
      <c r="AE26" s="30"/>
      <c r="BX26"/>
      <c r="BY26"/>
    </row>
    <row r="27" spans="1:77" ht="18.75">
      <c r="A27" s="181" t="s">
        <v>39</v>
      </c>
      <c r="B27" s="182"/>
      <c r="C27" s="182"/>
      <c r="D27" s="9" t="s">
        <v>139</v>
      </c>
      <c r="E27" s="2">
        <v>0.5</v>
      </c>
      <c r="F27" s="5" t="s">
        <v>21</v>
      </c>
      <c r="H27" s="2">
        <v>4</v>
      </c>
      <c r="I27" s="15">
        <v>66.20526072708387</v>
      </c>
      <c r="J27" s="15">
        <v>73.17120452647318</v>
      </c>
      <c r="K27" s="15"/>
      <c r="L27" s="11"/>
      <c r="M27" s="129"/>
      <c r="N27" s="50" t="s">
        <v>167</v>
      </c>
      <c r="O27" s="133">
        <f>O109*4*J28</f>
        <v>17.653259012723243</v>
      </c>
      <c r="P27" s="130"/>
      <c r="Q27" s="104">
        <f t="shared" si="0"/>
        <v>27.185665906692982</v>
      </c>
      <c r="R27" s="131">
        <f t="shared" si="1"/>
        <v>0.430730950477254</v>
      </c>
      <c r="S27" s="12"/>
      <c r="T27"/>
      <c r="AC27" s="30"/>
      <c r="AD27" s="30"/>
      <c r="AE27" s="30"/>
      <c r="BX27"/>
      <c r="BY27"/>
    </row>
    <row r="28" spans="1:76" ht="16.5">
      <c r="A28" s="5" t="s">
        <v>93</v>
      </c>
      <c r="B28" s="6"/>
      <c r="C28" s="6"/>
      <c r="D28" s="5" t="s">
        <v>87</v>
      </c>
      <c r="E28" s="18">
        <v>5083</v>
      </c>
      <c r="F28" s="5" t="s">
        <v>91</v>
      </c>
      <c r="I28" s="10" t="s">
        <v>50</v>
      </c>
      <c r="J28" s="15">
        <f>245*2.54*12/100/32/2</f>
        <v>1.1668124999999998</v>
      </c>
      <c r="K28" s="123" t="s">
        <v>49</v>
      </c>
      <c r="L28" s="123"/>
      <c r="M28" s="112"/>
      <c r="N28" s="110" t="s">
        <v>177</v>
      </c>
      <c r="O28" s="132">
        <f>P109*4*J28</f>
        <v>0.6078883137055758</v>
      </c>
      <c r="P28" s="125"/>
      <c r="Q28" s="106">
        <f t="shared" si="0"/>
        <v>0.9361358485179466</v>
      </c>
      <c r="R28" s="115">
        <f t="shared" si="1"/>
        <v>0.014832179766790054</v>
      </c>
      <c r="S28" s="12"/>
      <c r="T28"/>
      <c r="AC28" s="30"/>
      <c r="AD28" s="30"/>
      <c r="AE28" s="30"/>
      <c r="BX28"/>
    </row>
    <row r="29" spans="1:76" ht="16.5">
      <c r="A29" s="181" t="s">
        <v>94</v>
      </c>
      <c r="B29" s="182"/>
      <c r="C29" s="182"/>
      <c r="D29" s="5" t="s">
        <v>88</v>
      </c>
      <c r="E29" s="4">
        <f>P34*E28+P35*E28^P36</f>
        <v>3.0799600104546636</v>
      </c>
      <c r="F29" s="5" t="s">
        <v>21</v>
      </c>
      <c r="H29" s="5"/>
      <c r="I29" s="10" t="s">
        <v>54</v>
      </c>
      <c r="J29" s="3">
        <v>7.888866402398716E-06</v>
      </c>
      <c r="K29" s="123" t="s">
        <v>35</v>
      </c>
      <c r="L29" s="123"/>
      <c r="M29" s="126"/>
      <c r="N29" s="107" t="s">
        <v>178</v>
      </c>
      <c r="O29" s="132">
        <f>O27+O28</f>
        <v>18.26114732642882</v>
      </c>
      <c r="P29" s="107"/>
      <c r="Q29" s="114">
        <f t="shared" si="0"/>
        <v>28.121801755210928</v>
      </c>
      <c r="R29" s="115">
        <f>Q29/Q30</f>
        <v>0.44556313024404404</v>
      </c>
      <c r="S29" s="12"/>
      <c r="T29"/>
      <c r="AC29" s="30"/>
      <c r="AD29" s="30"/>
      <c r="AE29" s="30"/>
      <c r="BX29"/>
    </row>
    <row r="30" spans="1:76" ht="16.5">
      <c r="A30" s="181" t="s">
        <v>22</v>
      </c>
      <c r="B30" s="182"/>
      <c r="C30" s="182"/>
      <c r="D30" s="5" t="s">
        <v>48</v>
      </c>
      <c r="E30" s="13">
        <v>2.1215</v>
      </c>
      <c r="F30" s="5" t="s">
        <v>21</v>
      </c>
      <c r="H30" s="10"/>
      <c r="I30" s="10" t="s">
        <v>55</v>
      </c>
      <c r="K30" s="123" t="s">
        <v>15</v>
      </c>
      <c r="L30" s="123"/>
      <c r="M30" s="127"/>
      <c r="N30" s="128" t="s">
        <v>179</v>
      </c>
      <c r="O30" s="134">
        <f>SUM(O23:O26)+O29</f>
        <v>40.98442193012428</v>
      </c>
      <c r="P30" s="128"/>
      <c r="Q30" s="135">
        <f t="shared" si="0"/>
        <v>63.115190298191955</v>
      </c>
      <c r="R30" s="136">
        <f>SUM(R23:R26)+R29</f>
        <v>1</v>
      </c>
      <c r="S30" s="4"/>
      <c r="T30"/>
      <c r="AC30" s="30"/>
      <c r="AD30" s="30"/>
      <c r="AE30" s="30"/>
      <c r="BX30"/>
    </row>
    <row r="31" spans="1:76" ht="16.5">
      <c r="A31" s="5" t="s">
        <v>95</v>
      </c>
      <c r="B31" s="6"/>
      <c r="C31" s="6"/>
      <c r="D31" s="5" t="s">
        <v>89</v>
      </c>
      <c r="E31" s="18">
        <v>1</v>
      </c>
      <c r="F31" s="5" t="s">
        <v>91</v>
      </c>
      <c r="H31" s="10"/>
      <c r="I31" s="10" t="s">
        <v>67</v>
      </c>
      <c r="J31" s="15"/>
      <c r="L31" s="15"/>
      <c r="M31" s="5"/>
      <c r="O31" s="10"/>
      <c r="P31" s="16"/>
      <c r="R31" s="4"/>
      <c r="S31"/>
      <c r="AC31" s="30"/>
      <c r="AD31" s="30"/>
      <c r="BX31"/>
    </row>
    <row r="32" spans="1:76" ht="16.5">
      <c r="A32" s="181" t="s">
        <v>96</v>
      </c>
      <c r="B32" s="182"/>
      <c r="C32" s="182"/>
      <c r="D32" s="5" t="s">
        <v>84</v>
      </c>
      <c r="E32" s="15">
        <v>0</v>
      </c>
      <c r="F32" s="5" t="s">
        <v>21</v>
      </c>
      <c r="I32" s="10"/>
      <c r="J32" s="27"/>
      <c r="K32" s="38"/>
      <c r="L32" s="27"/>
      <c r="M32" s="5"/>
      <c r="O32" s="10"/>
      <c r="P32" s="16"/>
      <c r="R32" s="2"/>
      <c r="S32" s="4"/>
      <c r="AC32" s="30"/>
      <c r="AD32" s="30"/>
      <c r="BX32"/>
    </row>
    <row r="33" spans="1:83" ht="18">
      <c r="A33" s="181" t="s">
        <v>66</v>
      </c>
      <c r="B33" s="182"/>
      <c r="C33" s="182"/>
      <c r="D33" s="5" t="s">
        <v>146</v>
      </c>
      <c r="E33" s="15">
        <f>E32/E29</f>
        <v>0</v>
      </c>
      <c r="H33" s="5" t="s">
        <v>129</v>
      </c>
      <c r="I33" s="6"/>
      <c r="J33" s="20"/>
      <c r="K33" s="5" t="s">
        <v>132</v>
      </c>
      <c r="L33" s="15">
        <v>1</v>
      </c>
      <c r="M33" s="5"/>
      <c r="O33" s="10" t="s">
        <v>172</v>
      </c>
      <c r="P33" s="10"/>
      <c r="Q33" s="27"/>
      <c r="R33" s="38"/>
      <c r="S33" s="27"/>
      <c r="T33" s="5"/>
      <c r="U33" s="2"/>
      <c r="V33" s="10"/>
      <c r="W33" s="16"/>
      <c r="X33" s="18"/>
      <c r="Y33" s="3"/>
      <c r="Z33"/>
      <c r="AC33" s="30"/>
      <c r="AD33" s="30"/>
      <c r="AE33" s="30"/>
      <c r="AF33" s="30"/>
      <c r="AG33" s="30"/>
      <c r="AH33" s="30"/>
      <c r="AI33" s="30"/>
      <c r="AJ33" s="30"/>
      <c r="AK33" s="30"/>
      <c r="BX33"/>
      <c r="BY33"/>
      <c r="BZ33"/>
      <c r="CA33"/>
      <c r="CB33"/>
      <c r="CC33"/>
      <c r="CD33"/>
      <c r="CE33"/>
    </row>
    <row r="34" spans="1:84" ht="18">
      <c r="A34" s="181" t="s">
        <v>23</v>
      </c>
      <c r="B34" s="182"/>
      <c r="C34" s="182"/>
      <c r="D34" s="5" t="s">
        <v>56</v>
      </c>
      <c r="E34" s="4">
        <f>(E29-E32)/E35</f>
        <v>0.7699900026136659</v>
      </c>
      <c r="F34" s="5" t="s">
        <v>15</v>
      </c>
      <c r="H34" s="5" t="s">
        <v>128</v>
      </c>
      <c r="I34" s="6"/>
      <c r="J34" s="20"/>
      <c r="K34" s="5" t="s">
        <v>133</v>
      </c>
      <c r="L34" s="15">
        <v>2</v>
      </c>
      <c r="M34" s="5"/>
      <c r="O34" s="10" t="s">
        <v>188</v>
      </c>
      <c r="P34" s="202">
        <v>0.0009023255298815842</v>
      </c>
      <c r="Q34" s="203"/>
      <c r="R34" s="38"/>
      <c r="S34" s="27"/>
      <c r="T34" s="5"/>
      <c r="U34" s="2"/>
      <c r="V34" s="10"/>
      <c r="W34" s="29"/>
      <c r="X34" s="18"/>
      <c r="Y34" s="3"/>
      <c r="Z34"/>
      <c r="AC34" s="30"/>
      <c r="AD34" s="30"/>
      <c r="AE34" s="30"/>
      <c r="AF34" s="30"/>
      <c r="AG34" s="30"/>
      <c r="AH34" s="30"/>
      <c r="AI34" s="30"/>
      <c r="AJ34" s="30"/>
      <c r="AK34" s="30"/>
      <c r="BX34"/>
      <c r="BY34"/>
      <c r="BZ34"/>
      <c r="CA34"/>
      <c r="CB34"/>
      <c r="CC34"/>
      <c r="CD34"/>
      <c r="CE34"/>
      <c r="CF34"/>
    </row>
    <row r="35" spans="1:82" ht="18">
      <c r="A35" s="181" t="s">
        <v>51</v>
      </c>
      <c r="B35" s="182"/>
      <c r="C35" s="182"/>
      <c r="D35" s="5" t="s">
        <v>53</v>
      </c>
      <c r="E35" s="15">
        <v>4</v>
      </c>
      <c r="F35" s="5" t="s">
        <v>52</v>
      </c>
      <c r="H35" s="5" t="s">
        <v>130</v>
      </c>
      <c r="I35" s="6"/>
      <c r="J35" s="20"/>
      <c r="K35" s="5" t="s">
        <v>134</v>
      </c>
      <c r="L35" s="15">
        <v>1</v>
      </c>
      <c r="M35" s="5"/>
      <c r="O35" s="10" t="s">
        <v>189</v>
      </c>
      <c r="P35" s="186">
        <v>-5.378266220120102E-05</v>
      </c>
      <c r="Q35" s="187"/>
      <c r="R35" s="38"/>
      <c r="S35" s="5"/>
      <c r="T35" s="2"/>
      <c r="U35" s="10"/>
      <c r="V35" s="29"/>
      <c r="W35" s="16"/>
      <c r="X35" s="18"/>
      <c r="Y35"/>
      <c r="AC35" s="30"/>
      <c r="AD35" s="30"/>
      <c r="AE35" s="30"/>
      <c r="AF35" s="30"/>
      <c r="AG35" s="30"/>
      <c r="AH35" s="30"/>
      <c r="AI35" s="30"/>
      <c r="AJ35" s="30"/>
      <c r="BX35"/>
      <c r="BY35"/>
      <c r="BZ35"/>
      <c r="CA35"/>
      <c r="CB35"/>
      <c r="CC35"/>
      <c r="CD35"/>
    </row>
    <row r="36" spans="3:81" ht="16.5">
      <c r="C36" s="2"/>
      <c r="D36" s="2"/>
      <c r="E36" s="2"/>
      <c r="F36" s="2"/>
      <c r="H36" s="5" t="s">
        <v>131</v>
      </c>
      <c r="I36" s="6"/>
      <c r="J36" s="20"/>
      <c r="K36" s="5" t="s">
        <v>68</v>
      </c>
      <c r="L36" s="15">
        <v>1</v>
      </c>
      <c r="M36" s="5"/>
      <c r="O36" s="10" t="s">
        <v>90</v>
      </c>
      <c r="P36" s="27">
        <v>1.2000000525728414</v>
      </c>
      <c r="Q36" s="10"/>
      <c r="R36" s="38"/>
      <c r="S36" s="5"/>
      <c r="T36" s="2"/>
      <c r="U36" s="10"/>
      <c r="V36" s="29"/>
      <c r="W36" s="16"/>
      <c r="X36" s="18"/>
      <c r="Y36"/>
      <c r="AC36" s="30"/>
      <c r="AD36" s="30"/>
      <c r="AE36" s="30"/>
      <c r="AF36" s="30"/>
      <c r="AG36" s="30"/>
      <c r="AH36" s="30"/>
      <c r="AI36" s="30"/>
      <c r="AJ36" s="30"/>
      <c r="BX36"/>
      <c r="BY36"/>
      <c r="BZ36"/>
      <c r="CA36"/>
      <c r="CB36"/>
      <c r="CC36"/>
    </row>
    <row r="37" spans="16:77" ht="15.75" customHeight="1">
      <c r="P37" s="2"/>
      <c r="Q37" s="120" t="s">
        <v>144</v>
      </c>
      <c r="R37" s="56" t="s">
        <v>157</v>
      </c>
      <c r="S37" s="4"/>
      <c r="T37" s="194" t="s">
        <v>71</v>
      </c>
      <c r="U37" s="201"/>
      <c r="V37" s="201"/>
      <c r="W37" s="201"/>
      <c r="X37" s="201"/>
      <c r="Y37" s="201"/>
      <c r="Z37" s="201"/>
      <c r="AA37" s="201"/>
      <c r="AB37" s="201"/>
      <c r="AC37" s="190"/>
      <c r="AD37" s="30"/>
      <c r="BX37"/>
      <c r="BY37"/>
    </row>
    <row r="38" spans="1:77" ht="18">
      <c r="A38" s="191" t="s">
        <v>46</v>
      </c>
      <c r="B38" s="192"/>
      <c r="C38" s="192"/>
      <c r="D38" s="192"/>
      <c r="E38" s="193"/>
      <c r="F38" s="198" t="s">
        <v>141</v>
      </c>
      <c r="G38" s="199"/>
      <c r="H38" s="199"/>
      <c r="I38" s="199"/>
      <c r="J38" s="200"/>
      <c r="K38" s="191" t="s">
        <v>143</v>
      </c>
      <c r="L38" s="192"/>
      <c r="M38" s="192"/>
      <c r="N38" s="192"/>
      <c r="O38" s="192"/>
      <c r="P38" s="200"/>
      <c r="Q38" s="121" t="s">
        <v>176</v>
      </c>
      <c r="R38" s="57" t="s">
        <v>173</v>
      </c>
      <c r="S38" s="4"/>
      <c r="T38" s="194" t="s">
        <v>72</v>
      </c>
      <c r="U38" s="195"/>
      <c r="V38" s="195"/>
      <c r="W38" s="195"/>
      <c r="X38" s="196"/>
      <c r="Y38" s="194" t="s">
        <v>73</v>
      </c>
      <c r="Z38" s="195"/>
      <c r="AA38" s="195"/>
      <c r="AB38" s="195"/>
      <c r="AC38" s="197"/>
      <c r="AD38" s="188" t="s">
        <v>142</v>
      </c>
      <c r="AE38" s="189"/>
      <c r="AF38" s="189"/>
      <c r="AG38" s="189"/>
      <c r="AH38" s="190"/>
      <c r="BX38"/>
      <c r="BY38"/>
    </row>
    <row r="39" spans="1:76" ht="16.5">
      <c r="A39" s="51" t="s">
        <v>24</v>
      </c>
      <c r="B39" s="52" t="s">
        <v>25</v>
      </c>
      <c r="C39" s="53" t="s">
        <v>26</v>
      </c>
      <c r="D39" s="54" t="s">
        <v>27</v>
      </c>
      <c r="E39" s="55" t="s">
        <v>29</v>
      </c>
      <c r="F39" s="45" t="s">
        <v>28</v>
      </c>
      <c r="G39" s="54" t="s">
        <v>36</v>
      </c>
      <c r="H39" s="54" t="s">
        <v>37</v>
      </c>
      <c r="I39" s="46" t="s">
        <v>38</v>
      </c>
      <c r="J39" s="55" t="s">
        <v>29</v>
      </c>
      <c r="K39" s="89" t="s">
        <v>30</v>
      </c>
      <c r="L39" s="52" t="s">
        <v>31</v>
      </c>
      <c r="M39" s="52" t="s">
        <v>32</v>
      </c>
      <c r="N39" s="52" t="s">
        <v>33</v>
      </c>
      <c r="O39" s="52" t="s">
        <v>174</v>
      </c>
      <c r="P39" s="116" t="s">
        <v>175</v>
      </c>
      <c r="Q39" s="122" t="s">
        <v>41</v>
      </c>
      <c r="R39" s="58" t="s">
        <v>42</v>
      </c>
      <c r="S39"/>
      <c r="T39" s="59" t="s">
        <v>74</v>
      </c>
      <c r="U39" s="60" t="s">
        <v>75</v>
      </c>
      <c r="V39" s="60" t="s">
        <v>76</v>
      </c>
      <c r="W39" s="60" t="s">
        <v>77</v>
      </c>
      <c r="X39" s="61" t="s">
        <v>78</v>
      </c>
      <c r="Y39" s="59" t="s">
        <v>79</v>
      </c>
      <c r="Z39" s="60" t="s">
        <v>80</v>
      </c>
      <c r="AA39" s="60" t="s">
        <v>81</v>
      </c>
      <c r="AB39" s="60" t="s">
        <v>82</v>
      </c>
      <c r="AC39" s="61" t="s">
        <v>83</v>
      </c>
      <c r="AD39" s="59" t="s">
        <v>116</v>
      </c>
      <c r="AE39" s="62" t="s">
        <v>117</v>
      </c>
      <c r="AF39" s="62" t="s">
        <v>118</v>
      </c>
      <c r="AG39" s="62" t="s">
        <v>119</v>
      </c>
      <c r="AH39" s="63" t="s">
        <v>120</v>
      </c>
      <c r="BX39"/>
    </row>
    <row r="40" spans="1:76" ht="16.5">
      <c r="A40" s="18">
        <v>0</v>
      </c>
      <c r="B40" s="4">
        <v>-0.8219977069090909</v>
      </c>
      <c r="C40" s="11">
        <v>244.26680129999903</v>
      </c>
      <c r="D40" s="4">
        <v>-7.829455454545454E-06</v>
      </c>
      <c r="E40" s="4">
        <f aca="true" t="shared" si="2" ref="E40:E56">SQRT(B40^2+D40^2)</f>
        <v>0.8219977069463784</v>
      </c>
      <c r="F40" s="82">
        <f aca="true" t="shared" si="3" ref="F40:F56">-B40*$E$29*(1-$E$33)/$E$30/$E$34</f>
        <v>1.54984248297731</v>
      </c>
      <c r="G40" s="85">
        <f aca="true" t="shared" si="4" ref="G40:G56">C40*$E$29*(1-$E$33)/$E$30/$E$34</f>
        <v>460.5548928588244</v>
      </c>
      <c r="H40" s="87">
        <f aca="true" t="shared" si="5" ref="H40:H56">-D40*$E$29*(1-$E$33)/$E$30/$E$34</f>
        <v>1.4762112570436868E-05</v>
      </c>
      <c r="I40" s="87">
        <f aca="true" t="shared" si="6" ref="I40:I56">E40*$E$29*(1-$E$33)/$E$30/$E$34</f>
        <v>1.5498424830476143</v>
      </c>
      <c r="J40" s="56">
        <f aca="true" t="shared" si="7" ref="J40:J56">E40*E$29/E$30</f>
        <v>1.193363217572603</v>
      </c>
      <c r="K40" s="11">
        <f aca="true" t="shared" si="8" ref="K40:K56">L$33*E$14/120*F40^2/E$8*E$7*E$10*(E$10-1)*E$5/E$6</f>
        <v>142.12129908890222</v>
      </c>
      <c r="L40" s="11">
        <f aca="true" t="shared" si="9" ref="L40:L56">L$34*E$14/6*F40^2/E$9*E$7*E$5/E$6*(1+(G40*E$5/F40)^2/15)</f>
        <v>7270.288089568925</v>
      </c>
      <c r="M40" s="15">
        <f aca="true" t="shared" si="10" ref="M40:M56">L$35*E$14/8*H40^2/E$9*E$7*E$6/E$5</f>
        <v>3.1176297838509306E-09</v>
      </c>
      <c r="N40" s="11">
        <f aca="true" t="shared" si="11" ref="N40:N56">E$14*E$15*(E$12/E$11)^2*J40*(1-E$33)/E$34^2*(E$20/2/PI())^2/E$19*LN((E$18+E$19*J40)/(E$18+E$19*E$33*J40))</f>
        <v>2338.456514968288</v>
      </c>
      <c r="O40" s="11">
        <f aca="true" t="shared" si="12" ref="O40:O56">(Y40+Z40+AA40+AB40+AC40)/5</f>
        <v>5873.496698824801</v>
      </c>
      <c r="P40" s="11">
        <f aca="true" t="shared" si="13" ref="P40:P56">(AD40+AE40+AF40+AG40+AH40)/5</f>
        <v>150.83722924490445</v>
      </c>
      <c r="Q40" s="120">
        <f aca="true" t="shared" si="14" ref="Q40:Q56">SUM(K40:P40)</f>
        <v>15775.19983169894</v>
      </c>
      <c r="R40" s="90">
        <f aca="true" t="shared" si="15" ref="R40:R55">Q40*J$29</f>
        <v>0.12444844394341564</v>
      </c>
      <c r="S40" s="28"/>
      <c r="T40" s="92">
        <f aca="true" t="shared" si="16" ref="T40:T56">SQRT(($B40-$C40*0.8*$E$5)^2+$D40^2)*$E$29/$E$30</f>
        <v>2.5735546225471237</v>
      </c>
      <c r="U40" s="93">
        <f aca="true" t="shared" si="17" ref="U40:U56">SQRT(($B40-$C40*0.4*$E$5)^2+$D40^2)*$E$29/$E$30</f>
        <v>1.8834589200545444</v>
      </c>
      <c r="V40" s="93">
        <f aca="true" t="shared" si="18" ref="V40:V56">SQRT(($B40)^2+$D40^2)*$E$29/$E$30</f>
        <v>1.193363217572603</v>
      </c>
      <c r="W40" s="93">
        <f aca="true" t="shared" si="19" ref="W40:W56">SQRT(($B40+$C40*0.4*$E$5)^2+$D40^2)*$E$29/$E$30</f>
        <v>0.5032675151450557</v>
      </c>
      <c r="X40" s="94">
        <f aca="true" t="shared" si="20" ref="X40:X56">SQRT(($B40+$C40*0.8*$E$5)^2+$D40^2)*$E$29/$E$30</f>
        <v>0.186828187830859</v>
      </c>
      <c r="Y40" s="165">
        <f aca="true" t="shared" si="21" ref="Y40:Y56">$L$36*$E$14*$E$15*$E$17/$E$34*2/3*$E$21/PI()*($E$22*$E$23*LN((T40+$E$23)/($E$33*T40+$E$23))+$E$24*T40*(1-$E$33)+$E$25*T40^2/2*(1-$E$33^2))</f>
        <v>9467.113017580434</v>
      </c>
      <c r="Z40" s="165">
        <f aca="true" t="shared" si="22" ref="Z40:Z56">$L$36*$E$14*$E$15*$E$17/$E$34*2/3*$E$21/PI()*($E$22*$E$23*LN((U40+$E$23)/($E$33*U40+$E$23))+$E$24*U40*(1-$E$33)+$E$25*U40^2/2*(1-$E$33^2))</f>
        <v>8030.967722026221</v>
      </c>
      <c r="AA40" s="165">
        <f aca="true" t="shared" si="23" ref="AA40:AA56">$L$36*$E$14*$E$15*$E$17/$E$34*2/3*$E$21/PI()*($E$22*$E$23*LN((V40+$E$23)/($E$33*V40+$E$23))+$E$24*V40*(1-$E$33)+$E$25*V40^2/2*(1-$E$33^2))</f>
        <v>6236.9097278068975</v>
      </c>
      <c r="AB40" s="165">
        <f aca="true" t="shared" si="24" ref="AB40:AB56">$L$36*$E$14*$E$15*$E$17/$E$34*2/3*$E$21/PI()*($E$22*$E$23*LN((W40+$E$23)/($E$33*W40+$E$23))+$E$24*W40*(1-$E$33)+$E$25*W40^2/2*(1-$E$33^2))</f>
        <v>3730.9755699095954</v>
      </c>
      <c r="AC40" s="165">
        <f aca="true" t="shared" si="25" ref="AC40:AC56">$L$36*$E$14*$E$15*$E$17/$E$34*2/3*$E$21/PI()*($E$22*$E$23*LN((X40+$E$23)/($E$33*X40+$E$23))+$E$24*X40*(1-$E$33)+$E$25*X40^2/2*(1-$E$33^2))</f>
        <v>1901.5174568008542</v>
      </c>
      <c r="AD40" s="69">
        <f aca="true" t="shared" si="26" ref="AD40:AD56">1/9/PI()*$E$21/$E$34*$E$28^2*T40*(3*T40+4*$E$27)/($E$26*$E$27*$E$14*$E$15*$E$17*16*$E$5^2*$E$6^2)</f>
        <v>390.3860338306701</v>
      </c>
      <c r="AE40" s="70">
        <f aca="true" t="shared" si="27" ref="AE40:AE56">1/9/PI()*$E$21/$E$34*$E$28^2*U40*(3*U40+4*$E$27)/($E$26*$E$27*$E$14*$E$15*$E$17*16*$E$5^2*$E$6^2)</f>
        <v>224.85571583066616</v>
      </c>
      <c r="AF40" s="70">
        <f aca="true" t="shared" si="28" ref="AF40:AF56">1/9/PI()*$E$21/$E$34*$E$28^2*V40*(3*V40+4*$E$27)/($E$26*$E$27*$E$14*$E$15*$E$17*16*$E$5^2*$E$6^2)</f>
        <v>103.91512881398634</v>
      </c>
      <c r="AG40" s="70">
        <f aca="true" t="shared" si="29" ref="AG40:AG56">1/9/PI()*$E$21/$E$34*$E$28^2*W40*(3*W40+4*$E$27)/($E$26*$E$27*$E$14*$E$15*$E$17*16*$E$5^2*$E$6^2)</f>
        <v>27.56427278199603</v>
      </c>
      <c r="AH40" s="71">
        <f aca="true" t="shared" si="30" ref="AH40:AH56">1/9/PI()*$E$21/$E$34*$E$28^2*X40*(3*X40+4*$E$27)/($E$26*$E$27*$E$14*$E$15*$E$17*16*$E$5^2*$E$6^2)</f>
        <v>7.464994967203654</v>
      </c>
      <c r="AI40" s="28"/>
      <c r="BX40"/>
    </row>
    <row r="41" spans="1:76" ht="16.5">
      <c r="A41" s="18">
        <v>1</v>
      </c>
      <c r="B41" s="4">
        <v>-0.8217296287421121</v>
      </c>
      <c r="C41" s="11">
        <v>246.64712192512508</v>
      </c>
      <c r="D41" s="4">
        <v>-0.004352904612639874</v>
      </c>
      <c r="E41" s="4">
        <f t="shared" si="2"/>
        <v>0.8217411578661593</v>
      </c>
      <c r="F41" s="83">
        <f t="shared" si="3"/>
        <v>1.5493370327449671</v>
      </c>
      <c r="G41" s="86">
        <f t="shared" si="4"/>
        <v>465.0428883810984</v>
      </c>
      <c r="H41" s="88">
        <f t="shared" si="5"/>
        <v>0.008207220575328538</v>
      </c>
      <c r="I41" s="88">
        <f t="shared" si="6"/>
        <v>1.5493587704287708</v>
      </c>
      <c r="J41" s="57">
        <f t="shared" si="7"/>
        <v>1.1929907636919554</v>
      </c>
      <c r="K41" s="11">
        <f t="shared" si="8"/>
        <v>142.02861414753843</v>
      </c>
      <c r="L41" s="11">
        <f t="shared" si="9"/>
        <v>7283.5396041314525</v>
      </c>
      <c r="M41" s="15">
        <f t="shared" si="10"/>
        <v>0.0009636508912010048</v>
      </c>
      <c r="N41" s="11">
        <f t="shared" si="11"/>
        <v>2337.183831989971</v>
      </c>
      <c r="O41" s="11">
        <f t="shared" si="12"/>
        <v>5895.115007572586</v>
      </c>
      <c r="P41" s="11">
        <f t="shared" si="13"/>
        <v>151.83059448808203</v>
      </c>
      <c r="Q41" s="121">
        <f t="shared" si="14"/>
        <v>15809.69861598052</v>
      </c>
      <c r="R41" s="90">
        <f t="shared" si="15"/>
        <v>0.1247206002436582</v>
      </c>
      <c r="S41" s="28"/>
      <c r="T41" s="79">
        <f t="shared" si="16"/>
        <v>2.5866227804615183</v>
      </c>
      <c r="U41" s="80">
        <f t="shared" si="17"/>
        <v>1.8898051094768646</v>
      </c>
      <c r="V41" s="80">
        <f t="shared" si="18"/>
        <v>1.1929907636919554</v>
      </c>
      <c r="W41" s="80">
        <f t="shared" si="19"/>
        <v>0.4961937522287343</v>
      </c>
      <c r="X41" s="81">
        <f t="shared" si="20"/>
        <v>0.20076649196120955</v>
      </c>
      <c r="Y41" s="165">
        <f t="shared" si="21"/>
        <v>9491.689621800937</v>
      </c>
      <c r="Z41" s="165">
        <f t="shared" si="22"/>
        <v>8045.558243814118</v>
      </c>
      <c r="AA41" s="165">
        <f t="shared" si="23"/>
        <v>6235.8053891273385</v>
      </c>
      <c r="AB41" s="165">
        <f t="shared" si="24"/>
        <v>3697.922136769029</v>
      </c>
      <c r="AC41" s="165">
        <f t="shared" si="25"/>
        <v>2004.5996463515085</v>
      </c>
      <c r="AD41" s="72">
        <f t="shared" si="26"/>
        <v>393.95082407617883</v>
      </c>
      <c r="AE41" s="73">
        <f t="shared" si="27"/>
        <v>226.1748088825974</v>
      </c>
      <c r="AF41" s="73">
        <f t="shared" si="28"/>
        <v>103.86189489297682</v>
      </c>
      <c r="AG41" s="73">
        <f t="shared" si="29"/>
        <v>27.012519333204125</v>
      </c>
      <c r="AH41" s="74">
        <f t="shared" si="30"/>
        <v>8.152925255453024</v>
      </c>
      <c r="AI41" s="28"/>
      <c r="BX41"/>
    </row>
    <row r="42" spans="1:76" ht="16.5">
      <c r="A42" s="18">
        <v>2</v>
      </c>
      <c r="B42" s="4">
        <v>-0.821585611225844</v>
      </c>
      <c r="C42" s="11">
        <v>247.8761242952973</v>
      </c>
      <c r="D42" s="4">
        <v>-0.04666387906774721</v>
      </c>
      <c r="E42" s="4">
        <f t="shared" si="2"/>
        <v>0.8229097363520455</v>
      </c>
      <c r="F42" s="83">
        <f t="shared" si="3"/>
        <v>1.5490654937088737</v>
      </c>
      <c r="G42" s="86">
        <f t="shared" si="4"/>
        <v>467.36012122610845</v>
      </c>
      <c r="H42" s="88">
        <f t="shared" si="5"/>
        <v>0.08798280286164922</v>
      </c>
      <c r="I42" s="88">
        <f t="shared" si="6"/>
        <v>1.5515620765534677</v>
      </c>
      <c r="J42" s="57">
        <f t="shared" si="7"/>
        <v>1.1946872873806695</v>
      </c>
      <c r="K42" s="11">
        <f t="shared" si="8"/>
        <v>141.9788342319041</v>
      </c>
      <c r="L42" s="11">
        <f t="shared" si="9"/>
        <v>7290.361269135477</v>
      </c>
      <c r="M42" s="15">
        <f t="shared" si="10"/>
        <v>0.11074473863799894</v>
      </c>
      <c r="N42" s="11">
        <f t="shared" si="11"/>
        <v>2342.9829971240256</v>
      </c>
      <c r="O42" s="11">
        <f t="shared" si="12"/>
        <v>5927.3398476800585</v>
      </c>
      <c r="P42" s="11">
        <f t="shared" si="13"/>
        <v>152.67733545907265</v>
      </c>
      <c r="Q42" s="121">
        <f t="shared" si="14"/>
        <v>15855.451028369178</v>
      </c>
      <c r="R42" s="90">
        <f t="shared" si="15"/>
        <v>0.12508153491257978</v>
      </c>
      <c r="S42" s="28"/>
      <c r="T42" s="79">
        <f t="shared" si="16"/>
        <v>2.5942349734818997</v>
      </c>
      <c r="U42" s="80">
        <f t="shared" si="17"/>
        <v>1.894269409542172</v>
      </c>
      <c r="V42" s="80">
        <f t="shared" si="18"/>
        <v>1.1946872873806695</v>
      </c>
      <c r="W42" s="80">
        <f t="shared" si="19"/>
        <v>0.4971101022327272</v>
      </c>
      <c r="X42" s="81">
        <f t="shared" si="20"/>
        <v>0.21858365278721142</v>
      </c>
      <c r="Y42" s="165">
        <f t="shared" si="21"/>
        <v>9505.964956221354</v>
      </c>
      <c r="Z42" s="165">
        <f t="shared" si="22"/>
        <v>8055.804742435428</v>
      </c>
      <c r="AA42" s="165">
        <f t="shared" si="23"/>
        <v>6240.834155447896</v>
      </c>
      <c r="AB42" s="165">
        <f t="shared" si="24"/>
        <v>3702.2175819571858</v>
      </c>
      <c r="AC42" s="165">
        <f t="shared" si="25"/>
        <v>2131.877802338425</v>
      </c>
      <c r="AD42" s="72">
        <f t="shared" si="26"/>
        <v>396.03468171827853</v>
      </c>
      <c r="AE42" s="73">
        <f t="shared" si="27"/>
        <v>227.10499944506788</v>
      </c>
      <c r="AF42" s="73">
        <f t="shared" si="28"/>
        <v>104.10448003052454</v>
      </c>
      <c r="AG42" s="73">
        <f t="shared" si="29"/>
        <v>27.083730478796944</v>
      </c>
      <c r="AH42" s="74">
        <f t="shared" si="30"/>
        <v>9.058785622695401</v>
      </c>
      <c r="AI42" s="28"/>
      <c r="BX42"/>
    </row>
    <row r="43" spans="1:76" ht="16.5">
      <c r="A43" s="18">
        <v>3</v>
      </c>
      <c r="B43" s="4">
        <v>-0.8208176406045933</v>
      </c>
      <c r="C43" s="11">
        <v>248.61971105177216</v>
      </c>
      <c r="D43" s="4">
        <v>-0.08816510333209439</v>
      </c>
      <c r="E43" s="4">
        <f t="shared" si="2"/>
        <v>0.8255390266809015</v>
      </c>
      <c r="F43" s="83">
        <f t="shared" si="3"/>
        <v>1.5476175170484905</v>
      </c>
      <c r="G43" s="86">
        <f t="shared" si="4"/>
        <v>468.7621231237749</v>
      </c>
      <c r="H43" s="88">
        <f t="shared" si="5"/>
        <v>0.16623163484722014</v>
      </c>
      <c r="I43" s="88">
        <f t="shared" si="6"/>
        <v>1.5565194940955012</v>
      </c>
      <c r="J43" s="57">
        <f t="shared" si="7"/>
        <v>1.1985044493268169</v>
      </c>
      <c r="K43" s="11">
        <f t="shared" si="8"/>
        <v>141.7135311107869</v>
      </c>
      <c r="L43" s="11">
        <f t="shared" si="9"/>
        <v>7283.950802700388</v>
      </c>
      <c r="M43" s="15">
        <f t="shared" si="10"/>
        <v>0.395325535951867</v>
      </c>
      <c r="N43" s="11">
        <f t="shared" si="11"/>
        <v>2356.0507858079327</v>
      </c>
      <c r="O43" s="11">
        <f t="shared" si="12"/>
        <v>5982.3842613314755</v>
      </c>
      <c r="P43" s="11">
        <f t="shared" si="13"/>
        <v>153.7049366078363</v>
      </c>
      <c r="Q43" s="121">
        <f t="shared" si="14"/>
        <v>15918.199643094371</v>
      </c>
      <c r="R43" s="90">
        <f t="shared" si="15"/>
        <v>0.12557655035108242</v>
      </c>
      <c r="S43" s="28"/>
      <c r="T43" s="79">
        <f t="shared" si="16"/>
        <v>2.5995898734156166</v>
      </c>
      <c r="U43" s="80">
        <f t="shared" si="17"/>
        <v>1.8983634254065407</v>
      </c>
      <c r="V43" s="80">
        <f t="shared" si="18"/>
        <v>1.1985044493268169</v>
      </c>
      <c r="W43" s="80">
        <f t="shared" si="19"/>
        <v>0.5057224242307081</v>
      </c>
      <c r="X43" s="81">
        <f t="shared" si="20"/>
        <v>0.2486170968820913</v>
      </c>
      <c r="Y43" s="165">
        <f t="shared" si="21"/>
        <v>9515.98931603586</v>
      </c>
      <c r="Z43" s="165">
        <f t="shared" si="22"/>
        <v>8065.18878882552</v>
      </c>
      <c r="AA43" s="165">
        <f t="shared" si="23"/>
        <v>6252.1349435102</v>
      </c>
      <c r="AB43" s="165">
        <f t="shared" si="24"/>
        <v>3742.390520291661</v>
      </c>
      <c r="AC43" s="165">
        <f t="shared" si="25"/>
        <v>2336.21773799414</v>
      </c>
      <c r="AD43" s="72">
        <f t="shared" si="26"/>
        <v>397.5038502303842</v>
      </c>
      <c r="AE43" s="73">
        <f t="shared" si="27"/>
        <v>227.95967714774469</v>
      </c>
      <c r="AF43" s="73">
        <f t="shared" si="28"/>
        <v>104.65127955234695</v>
      </c>
      <c r="AG43" s="73">
        <f t="shared" si="29"/>
        <v>27.75685077087385</v>
      </c>
      <c r="AH43" s="74">
        <f t="shared" si="30"/>
        <v>10.653025337831732</v>
      </c>
      <c r="AI43" s="28"/>
      <c r="BX43"/>
    </row>
    <row r="44" spans="1:76" ht="16.5">
      <c r="A44" s="18">
        <v>4</v>
      </c>
      <c r="B44" s="4">
        <v>-0.8198187393907777</v>
      </c>
      <c r="C44" s="11">
        <v>249.01848455721432</v>
      </c>
      <c r="D44" s="4">
        <v>-0.12932473383011736</v>
      </c>
      <c r="E44" s="4">
        <f t="shared" si="2"/>
        <v>0.8299564158656251</v>
      </c>
      <c r="F44" s="83">
        <f t="shared" si="3"/>
        <v>1.54573413036206</v>
      </c>
      <c r="G44" s="86">
        <f t="shared" si="4"/>
        <v>469.51399398013535</v>
      </c>
      <c r="H44" s="88">
        <f t="shared" si="5"/>
        <v>0.24383640599597897</v>
      </c>
      <c r="I44" s="88">
        <f t="shared" si="6"/>
        <v>1.5648482976490692</v>
      </c>
      <c r="J44" s="57">
        <f t="shared" si="7"/>
        <v>1.2049175447967975</v>
      </c>
      <c r="K44" s="11">
        <f t="shared" si="8"/>
        <v>141.36882194219902</v>
      </c>
      <c r="L44" s="11">
        <f t="shared" si="9"/>
        <v>7271.43070789385</v>
      </c>
      <c r="M44" s="15">
        <f t="shared" si="10"/>
        <v>0.8505985012562295</v>
      </c>
      <c r="N44" s="11">
        <f t="shared" si="11"/>
        <v>2378.0669263427744</v>
      </c>
      <c r="O44" s="11">
        <f t="shared" si="12"/>
        <v>6053.408542090436</v>
      </c>
      <c r="P44" s="11">
        <f t="shared" si="13"/>
        <v>155.00932117890528</v>
      </c>
      <c r="Q44" s="121">
        <f t="shared" si="14"/>
        <v>16000.134917949421</v>
      </c>
      <c r="R44" s="90">
        <f t="shared" si="15"/>
        <v>0.12622292678805772</v>
      </c>
      <c r="S44" s="28"/>
      <c r="T44" s="79">
        <f t="shared" si="16"/>
        <v>2.6040172110274855</v>
      </c>
      <c r="U44" s="80">
        <f t="shared" si="17"/>
        <v>1.9030043451508802</v>
      </c>
      <c r="V44" s="80">
        <f t="shared" si="18"/>
        <v>1.2049175447967975</v>
      </c>
      <c r="W44" s="80">
        <f t="shared" si="19"/>
        <v>0.5216396185254704</v>
      </c>
      <c r="X44" s="81">
        <f t="shared" si="20"/>
        <v>0.28682807260081483</v>
      </c>
      <c r="Y44" s="165">
        <f t="shared" si="21"/>
        <v>9524.266192025125</v>
      </c>
      <c r="Z44" s="165">
        <f t="shared" si="22"/>
        <v>8075.811907434447</v>
      </c>
      <c r="AA44" s="165">
        <f t="shared" si="23"/>
        <v>6271.077960802283</v>
      </c>
      <c r="AB44" s="165">
        <f t="shared" si="24"/>
        <v>3815.7191738050424</v>
      </c>
      <c r="AC44" s="165">
        <f t="shared" si="25"/>
        <v>2580.167476385284</v>
      </c>
      <c r="AD44" s="72">
        <f t="shared" si="26"/>
        <v>398.7205605904126</v>
      </c>
      <c r="AE44" s="73">
        <f t="shared" si="27"/>
        <v>228.9304257652495</v>
      </c>
      <c r="AF44" s="73">
        <f t="shared" si="28"/>
        <v>105.573011909487</v>
      </c>
      <c r="AG44" s="73">
        <f t="shared" si="29"/>
        <v>29.019182488523413</v>
      </c>
      <c r="AH44" s="74">
        <f t="shared" si="30"/>
        <v>12.803425140853802</v>
      </c>
      <c r="AI44" s="28"/>
      <c r="BX44"/>
    </row>
    <row r="45" spans="1:76" ht="16.5">
      <c r="A45" s="18">
        <v>5</v>
      </c>
      <c r="B45" s="4">
        <v>-0.8183791186552796</v>
      </c>
      <c r="C45" s="11">
        <v>249.07833636928586</v>
      </c>
      <c r="D45" s="4">
        <v>-0.17029335958175434</v>
      </c>
      <c r="E45" s="4">
        <f t="shared" si="2"/>
        <v>0.8359092116782976</v>
      </c>
      <c r="F45" s="83">
        <f t="shared" si="3"/>
        <v>1.543019785350515</v>
      </c>
      <c r="G45" s="86">
        <f t="shared" si="4"/>
        <v>469.62684208208503</v>
      </c>
      <c r="H45" s="88">
        <f t="shared" si="5"/>
        <v>0.32108104564082834</v>
      </c>
      <c r="I45" s="88">
        <f t="shared" si="6"/>
        <v>1.5760720465299034</v>
      </c>
      <c r="J45" s="57">
        <f t="shared" si="7"/>
        <v>1.213559719226886</v>
      </c>
      <c r="K45" s="11">
        <f t="shared" si="8"/>
        <v>140.87276400418182</v>
      </c>
      <c r="L45" s="11">
        <f t="shared" si="9"/>
        <v>7249.602238300266</v>
      </c>
      <c r="M45" s="15">
        <f t="shared" si="10"/>
        <v>1.4748805673728378</v>
      </c>
      <c r="N45" s="11">
        <f t="shared" si="11"/>
        <v>2407.8567645206035</v>
      </c>
      <c r="O45" s="11">
        <f t="shared" si="12"/>
        <v>6134.040080185569</v>
      </c>
      <c r="P45" s="11">
        <f t="shared" si="13"/>
        <v>156.52561689767606</v>
      </c>
      <c r="Q45" s="121">
        <f t="shared" si="14"/>
        <v>16090.37234447567</v>
      </c>
      <c r="R45" s="90">
        <f t="shared" si="15"/>
        <v>0.12693479779041958</v>
      </c>
      <c r="S45" s="28"/>
      <c r="T45" s="79">
        <f t="shared" si="16"/>
        <v>2.6072361698359208</v>
      </c>
      <c r="U45" s="80">
        <f t="shared" si="17"/>
        <v>1.90788507161968</v>
      </c>
      <c r="V45" s="80">
        <f t="shared" si="18"/>
        <v>1.213559719226886</v>
      </c>
      <c r="W45" s="80">
        <f t="shared" si="19"/>
        <v>0.543861822674752</v>
      </c>
      <c r="X45" s="81">
        <f t="shared" si="20"/>
        <v>0.33045561972589726</v>
      </c>
      <c r="Y45" s="165">
        <f t="shared" si="21"/>
        <v>9530.277720107448</v>
      </c>
      <c r="Z45" s="165">
        <f t="shared" si="22"/>
        <v>8086.96736318893</v>
      </c>
      <c r="AA45" s="165">
        <f t="shared" si="23"/>
        <v>6296.5204256019215</v>
      </c>
      <c r="AB45" s="165">
        <f t="shared" si="24"/>
        <v>3916.186386577942</v>
      </c>
      <c r="AC45" s="165">
        <f t="shared" si="25"/>
        <v>2840.248505451609</v>
      </c>
      <c r="AD45" s="72">
        <f t="shared" si="26"/>
        <v>399.60633943658985</v>
      </c>
      <c r="AE45" s="73">
        <f t="shared" si="27"/>
        <v>229.95351075785857</v>
      </c>
      <c r="AF45" s="73">
        <f t="shared" si="28"/>
        <v>106.82121331804917</v>
      </c>
      <c r="AG45" s="73">
        <f t="shared" si="29"/>
        <v>30.82121815326564</v>
      </c>
      <c r="AH45" s="74">
        <f t="shared" si="30"/>
        <v>15.425802822617051</v>
      </c>
      <c r="AI45" s="28"/>
      <c r="BX45"/>
    </row>
    <row r="46" spans="1:76" ht="16.5">
      <c r="A46" s="18">
        <v>6</v>
      </c>
      <c r="B46" s="4">
        <v>-0.8165897522528507</v>
      </c>
      <c r="C46" s="11">
        <v>248.9262978938888</v>
      </c>
      <c r="D46" s="4">
        <v>-0.21129872517543874</v>
      </c>
      <c r="E46" s="4">
        <f t="shared" si="2"/>
        <v>0.8434844247199457</v>
      </c>
      <c r="F46" s="83">
        <f t="shared" si="3"/>
        <v>1.5396460094326667</v>
      </c>
      <c r="G46" s="86">
        <f t="shared" si="4"/>
        <v>469.34017986120915</v>
      </c>
      <c r="H46" s="88">
        <f t="shared" si="5"/>
        <v>0.3983949567295568</v>
      </c>
      <c r="I46" s="88">
        <f t="shared" si="6"/>
        <v>1.5903547956067794</v>
      </c>
      <c r="J46" s="57">
        <f t="shared" si="7"/>
        <v>1.22455729322592</v>
      </c>
      <c r="K46" s="11">
        <f t="shared" si="8"/>
        <v>140.25740760175515</v>
      </c>
      <c r="L46" s="11">
        <f t="shared" si="9"/>
        <v>7220.844801251269</v>
      </c>
      <c r="M46" s="15">
        <f t="shared" si="10"/>
        <v>2.2706760557959083</v>
      </c>
      <c r="N46" s="11">
        <f t="shared" si="11"/>
        <v>2445.9661516494357</v>
      </c>
      <c r="O46" s="11">
        <f t="shared" si="12"/>
        <v>6221.628880594768</v>
      </c>
      <c r="P46" s="11">
        <f t="shared" si="13"/>
        <v>158.31624212457098</v>
      </c>
      <c r="Q46" s="121">
        <f t="shared" si="14"/>
        <v>16189.284159277595</v>
      </c>
      <c r="R46" s="90">
        <f t="shared" si="15"/>
        <v>0.12771509988301077</v>
      </c>
      <c r="S46" s="28"/>
      <c r="T46" s="79">
        <f t="shared" si="16"/>
        <v>2.6101202095823504</v>
      </c>
      <c r="U46" s="80">
        <f t="shared" si="17"/>
        <v>1.913520315463669</v>
      </c>
      <c r="V46" s="80">
        <f t="shared" si="18"/>
        <v>1.22455729322592</v>
      </c>
      <c r="W46" s="80">
        <f t="shared" si="19"/>
        <v>0.5715498303490671</v>
      </c>
      <c r="X46" s="81">
        <f t="shared" si="20"/>
        <v>0.3780819094190393</v>
      </c>
      <c r="Y46" s="165">
        <f t="shared" si="21"/>
        <v>9535.659279971005</v>
      </c>
      <c r="Z46" s="165">
        <f t="shared" si="22"/>
        <v>8099.826274208419</v>
      </c>
      <c r="AA46" s="165">
        <f t="shared" si="23"/>
        <v>6328.757802280667</v>
      </c>
      <c r="AB46" s="165">
        <f t="shared" si="24"/>
        <v>4038.435630319307</v>
      </c>
      <c r="AC46" s="165">
        <f t="shared" si="25"/>
        <v>3105.4654161944404</v>
      </c>
      <c r="AD46" s="72">
        <f t="shared" si="26"/>
        <v>400.4007807434188</v>
      </c>
      <c r="AE46" s="73">
        <f t="shared" si="27"/>
        <v>231.1375299571322</v>
      </c>
      <c r="AF46" s="73">
        <f t="shared" si="28"/>
        <v>108.41971997937834</v>
      </c>
      <c r="AG46" s="73">
        <f t="shared" si="29"/>
        <v>33.131179453959504</v>
      </c>
      <c r="AH46" s="74">
        <f t="shared" si="30"/>
        <v>18.492000488966113</v>
      </c>
      <c r="AI46" s="28"/>
      <c r="BX46"/>
    </row>
    <row r="47" spans="1:76" ht="16.5">
      <c r="A47" s="18">
        <v>7</v>
      </c>
      <c r="B47" s="4">
        <v>-0.814521089821648</v>
      </c>
      <c r="C47" s="11">
        <v>248.45779899296454</v>
      </c>
      <c r="D47" s="4">
        <v>-0.25243209734431343</v>
      </c>
      <c r="E47" s="4">
        <f t="shared" si="2"/>
        <v>0.8527406226596068</v>
      </c>
      <c r="F47" s="83">
        <f t="shared" si="3"/>
        <v>1.5357456324707008</v>
      </c>
      <c r="G47" s="86">
        <f t="shared" si="4"/>
        <v>468.45684467209907</v>
      </c>
      <c r="H47" s="88">
        <f t="shared" si="5"/>
        <v>0.4759502188909987</v>
      </c>
      <c r="I47" s="88">
        <f t="shared" si="6"/>
        <v>1.6078069717833736</v>
      </c>
      <c r="J47" s="57">
        <f t="shared" si="7"/>
        <v>1.2379952944057502</v>
      </c>
      <c r="K47" s="11">
        <f t="shared" si="8"/>
        <v>139.54768104119415</v>
      </c>
      <c r="L47" s="11">
        <f t="shared" si="9"/>
        <v>7185.506055445277</v>
      </c>
      <c r="M47" s="15">
        <f t="shared" si="10"/>
        <v>3.240787671198782</v>
      </c>
      <c r="N47" s="11">
        <f t="shared" si="11"/>
        <v>2492.8351903972143</v>
      </c>
      <c r="O47" s="11">
        <f t="shared" si="12"/>
        <v>6313.522398513427</v>
      </c>
      <c r="P47" s="11">
        <f t="shared" si="13"/>
        <v>160.34444812541207</v>
      </c>
      <c r="Q47" s="121">
        <f t="shared" si="14"/>
        <v>16294.996561193722</v>
      </c>
      <c r="R47" s="90">
        <f t="shared" si="15"/>
        <v>0.12854905089880378</v>
      </c>
      <c r="S47" s="28"/>
      <c r="T47" s="79">
        <f t="shared" si="16"/>
        <v>2.6122156868133395</v>
      </c>
      <c r="U47" s="80">
        <f t="shared" si="17"/>
        <v>1.9197493158407597</v>
      </c>
      <c r="V47" s="80">
        <f t="shared" si="18"/>
        <v>1.2379952944057502</v>
      </c>
      <c r="W47" s="80">
        <f t="shared" si="19"/>
        <v>0.6043637433969984</v>
      </c>
      <c r="X47" s="81">
        <f t="shared" si="20"/>
        <v>0.42814365785005287</v>
      </c>
      <c r="Y47" s="165">
        <f t="shared" si="21"/>
        <v>9539.566736507404</v>
      </c>
      <c r="Z47" s="165">
        <f t="shared" si="22"/>
        <v>8114.013864139156</v>
      </c>
      <c r="AA47" s="165">
        <f t="shared" si="23"/>
        <v>6367.93968815489</v>
      </c>
      <c r="AB47" s="165">
        <f t="shared" si="24"/>
        <v>4179.404376106596</v>
      </c>
      <c r="AC47" s="165">
        <f t="shared" si="25"/>
        <v>3366.6873276590904</v>
      </c>
      <c r="AD47" s="72">
        <f t="shared" si="26"/>
        <v>400.97849209386607</v>
      </c>
      <c r="AE47" s="73">
        <f t="shared" si="27"/>
        <v>232.44976289241046</v>
      </c>
      <c r="AF47" s="73">
        <f t="shared" si="28"/>
        <v>110.38831725368617</v>
      </c>
      <c r="AG47" s="73">
        <f t="shared" si="29"/>
        <v>35.96172823110275</v>
      </c>
      <c r="AH47" s="74">
        <f t="shared" si="30"/>
        <v>21.94394015599489</v>
      </c>
      <c r="AI47" s="28"/>
      <c r="BX47"/>
    </row>
    <row r="48" spans="1:76" ht="16.5">
      <c r="A48" s="18">
        <v>8</v>
      </c>
      <c r="B48" s="4">
        <v>-0.811908099555227</v>
      </c>
      <c r="C48" s="11">
        <v>247.71187929577997</v>
      </c>
      <c r="D48" s="4">
        <v>-0.2939766016246563</v>
      </c>
      <c r="E48" s="4">
        <f t="shared" si="2"/>
        <v>0.863491172176162</v>
      </c>
      <c r="F48" s="83">
        <f t="shared" si="3"/>
        <v>1.5308189480183398</v>
      </c>
      <c r="G48" s="86">
        <f t="shared" si="4"/>
        <v>467.0504441117698</v>
      </c>
      <c r="H48" s="88">
        <f t="shared" si="5"/>
        <v>0.5542806535463706</v>
      </c>
      <c r="I48" s="88">
        <f t="shared" si="6"/>
        <v>1.6280766856962752</v>
      </c>
      <c r="J48" s="57">
        <f t="shared" si="7"/>
        <v>1.2536027714745235</v>
      </c>
      <c r="K48" s="11">
        <f t="shared" si="8"/>
        <v>138.65377698391845</v>
      </c>
      <c r="L48" s="11">
        <f t="shared" si="9"/>
        <v>7139.8551506844</v>
      </c>
      <c r="M48" s="15">
        <f t="shared" si="10"/>
        <v>4.395284150134916</v>
      </c>
      <c r="N48" s="11">
        <f t="shared" si="11"/>
        <v>2547.6862980219857</v>
      </c>
      <c r="O48" s="11">
        <f t="shared" si="12"/>
        <v>6408.488825677237</v>
      </c>
      <c r="P48" s="11">
        <f t="shared" si="13"/>
        <v>162.59414433958995</v>
      </c>
      <c r="Q48" s="121">
        <f t="shared" si="14"/>
        <v>16401.67347985727</v>
      </c>
      <c r="R48" s="90">
        <f t="shared" si="15"/>
        <v>0.12939061085836004</v>
      </c>
      <c r="S48" s="28"/>
      <c r="T48" s="79">
        <f t="shared" si="16"/>
        <v>2.6134565755165675</v>
      </c>
      <c r="U48" s="80">
        <f t="shared" si="17"/>
        <v>1.926415704088737</v>
      </c>
      <c r="V48" s="80">
        <f t="shared" si="18"/>
        <v>1.2536027714745235</v>
      </c>
      <c r="W48" s="80">
        <f t="shared" si="19"/>
        <v>0.6414690976013498</v>
      </c>
      <c r="X48" s="81">
        <f t="shared" si="20"/>
        <v>0.4805887519973346</v>
      </c>
      <c r="Y48" s="165">
        <f t="shared" si="21"/>
        <v>9541.879578341497</v>
      </c>
      <c r="Z48" s="165">
        <f t="shared" si="22"/>
        <v>8129.16731912327</v>
      </c>
      <c r="AA48" s="165">
        <f t="shared" si="23"/>
        <v>6413.162882030182</v>
      </c>
      <c r="AB48" s="165">
        <f t="shared" si="24"/>
        <v>4334.098652127759</v>
      </c>
      <c r="AC48" s="165">
        <f t="shared" si="25"/>
        <v>3624.1356967634774</v>
      </c>
      <c r="AD48" s="72">
        <f t="shared" si="26"/>
        <v>401.3207919851734</v>
      </c>
      <c r="AE48" s="73">
        <f t="shared" si="27"/>
        <v>233.85816267726412</v>
      </c>
      <c r="AF48" s="73">
        <f t="shared" si="28"/>
        <v>112.69595400533171</v>
      </c>
      <c r="AG48" s="73">
        <f t="shared" si="29"/>
        <v>39.283915613434836</v>
      </c>
      <c r="AH48" s="74">
        <f t="shared" si="30"/>
        <v>25.81189741674576</v>
      </c>
      <c r="AI48" s="28"/>
      <c r="BX48"/>
    </row>
    <row r="49" spans="1:76" ht="16.5">
      <c r="A49" s="18">
        <v>9</v>
      </c>
      <c r="B49" s="4">
        <v>-0.808983216110299</v>
      </c>
      <c r="C49" s="11">
        <v>246.684348194236</v>
      </c>
      <c r="D49" s="4">
        <v>-0.3360578703147423</v>
      </c>
      <c r="E49" s="4">
        <f t="shared" si="2"/>
        <v>0.8760072694610718</v>
      </c>
      <c r="F49" s="83">
        <f t="shared" si="3"/>
        <v>1.5253042019520129</v>
      </c>
      <c r="G49" s="86">
        <f t="shared" si="4"/>
        <v>465.11307696297143</v>
      </c>
      <c r="H49" s="88">
        <f t="shared" si="5"/>
        <v>0.6336231351680269</v>
      </c>
      <c r="I49" s="88">
        <f t="shared" si="6"/>
        <v>1.6516752664832839</v>
      </c>
      <c r="J49" s="57">
        <f t="shared" si="7"/>
        <v>1.2717734427563911</v>
      </c>
      <c r="K49" s="11">
        <f t="shared" si="8"/>
        <v>137.6565812397529</v>
      </c>
      <c r="L49" s="11">
        <f t="shared" si="9"/>
        <v>7087.5115056487</v>
      </c>
      <c r="M49" s="15">
        <f t="shared" si="10"/>
        <v>5.743671171443183</v>
      </c>
      <c r="N49" s="11">
        <f t="shared" si="11"/>
        <v>2612.1033996608458</v>
      </c>
      <c r="O49" s="11">
        <f t="shared" si="12"/>
        <v>6506.352675746735</v>
      </c>
      <c r="P49" s="11">
        <f t="shared" si="13"/>
        <v>165.12472753023695</v>
      </c>
      <c r="Q49" s="121">
        <f t="shared" si="14"/>
        <v>16514.492560997714</v>
      </c>
      <c r="R49" s="90">
        <f t="shared" si="15"/>
        <v>0.1302806255171184</v>
      </c>
      <c r="S49" s="28"/>
      <c r="T49" s="79">
        <f t="shared" si="16"/>
        <v>2.6142493710871975</v>
      </c>
      <c r="U49" s="80">
        <f t="shared" si="17"/>
        <v>1.9339463067272318</v>
      </c>
      <c r="V49" s="80">
        <f t="shared" si="18"/>
        <v>1.2717734427563911</v>
      </c>
      <c r="W49" s="80">
        <f t="shared" si="19"/>
        <v>0.6826989756982474</v>
      </c>
      <c r="X49" s="81">
        <f t="shared" si="20"/>
        <v>0.5349382417259757</v>
      </c>
      <c r="Y49" s="165">
        <f t="shared" si="21"/>
        <v>9543.356826908992</v>
      </c>
      <c r="Z49" s="165">
        <f t="shared" si="22"/>
        <v>8146.24763197029</v>
      </c>
      <c r="AA49" s="165">
        <f t="shared" si="23"/>
        <v>6465.434849110625</v>
      </c>
      <c r="AB49" s="165">
        <f t="shared" si="24"/>
        <v>4500.621513533189</v>
      </c>
      <c r="AC49" s="165">
        <f t="shared" si="25"/>
        <v>3876.1025572105805</v>
      </c>
      <c r="AD49" s="72">
        <f t="shared" si="26"/>
        <v>401.5395605975613</v>
      </c>
      <c r="AE49" s="73">
        <f t="shared" si="27"/>
        <v>235.4541490855784</v>
      </c>
      <c r="AF49" s="73">
        <f t="shared" si="28"/>
        <v>115.41130452260617</v>
      </c>
      <c r="AG49" s="73">
        <f t="shared" si="29"/>
        <v>43.12658899534331</v>
      </c>
      <c r="AH49" s="74">
        <f t="shared" si="30"/>
        <v>30.092034450095355</v>
      </c>
      <c r="AI49" s="28"/>
      <c r="BX49"/>
    </row>
    <row r="50" spans="1:76" ht="16.5">
      <c r="A50" s="18">
        <v>10</v>
      </c>
      <c r="B50" s="4">
        <v>-0.805486638655367</v>
      </c>
      <c r="C50" s="11">
        <v>245.26913205326798</v>
      </c>
      <c r="D50" s="4">
        <v>-0.3788205015613247</v>
      </c>
      <c r="E50" s="4">
        <f t="shared" si="2"/>
        <v>0.8901200466540989</v>
      </c>
      <c r="F50" s="83">
        <f t="shared" si="3"/>
        <v>1.518711550611109</v>
      </c>
      <c r="G50" s="86">
        <f t="shared" si="4"/>
        <v>462.4447457992325</v>
      </c>
      <c r="H50" s="88">
        <f t="shared" si="5"/>
        <v>0.714250297546688</v>
      </c>
      <c r="I50" s="88">
        <f t="shared" si="6"/>
        <v>1.6782843208184755</v>
      </c>
      <c r="J50" s="57">
        <f t="shared" si="7"/>
        <v>1.2922621485734924</v>
      </c>
      <c r="K50" s="11">
        <f t="shared" si="8"/>
        <v>136.46919762961872</v>
      </c>
      <c r="L50" s="11">
        <f t="shared" si="9"/>
        <v>7023.823858084006</v>
      </c>
      <c r="M50" s="15">
        <f t="shared" si="10"/>
        <v>7.2984120043933896</v>
      </c>
      <c r="N50" s="11">
        <f t="shared" si="11"/>
        <v>2685.4515526373016</v>
      </c>
      <c r="O50" s="11">
        <f t="shared" si="12"/>
        <v>6605.874851418531</v>
      </c>
      <c r="P50" s="11">
        <f t="shared" si="13"/>
        <v>167.86860350883248</v>
      </c>
      <c r="Q50" s="121">
        <f t="shared" si="14"/>
        <v>16626.786475282683</v>
      </c>
      <c r="R50" s="90">
        <f t="shared" si="15"/>
        <v>0.13116649720471493</v>
      </c>
      <c r="S50" s="28"/>
      <c r="T50" s="79">
        <f t="shared" si="16"/>
        <v>2.613762153474731</v>
      </c>
      <c r="U50" s="80">
        <f t="shared" si="17"/>
        <v>1.941828664971165</v>
      </c>
      <c r="V50" s="80">
        <f t="shared" si="18"/>
        <v>1.2922621485734924</v>
      </c>
      <c r="W50" s="80">
        <f t="shared" si="19"/>
        <v>0.7276546464725624</v>
      </c>
      <c r="X50" s="81">
        <f t="shared" si="20"/>
        <v>0.5910313323299278</v>
      </c>
      <c r="Y50" s="165">
        <f t="shared" si="21"/>
        <v>9542.449012232104</v>
      </c>
      <c r="Z50" s="165">
        <f t="shared" si="22"/>
        <v>8164.083233308827</v>
      </c>
      <c r="AA50" s="165">
        <f t="shared" si="23"/>
        <v>6523.896876015611</v>
      </c>
      <c r="AB50" s="165">
        <f t="shared" si="24"/>
        <v>4676.325452973183</v>
      </c>
      <c r="AC50" s="165">
        <f t="shared" si="25"/>
        <v>4122.619682562923</v>
      </c>
      <c r="AD50" s="72">
        <f t="shared" si="26"/>
        <v>401.40510797102763</v>
      </c>
      <c r="AE50" s="73">
        <f t="shared" si="27"/>
        <v>237.13037185634153</v>
      </c>
      <c r="AF50" s="73">
        <f t="shared" si="28"/>
        <v>118.51013395871935</v>
      </c>
      <c r="AG50" s="73">
        <f t="shared" si="29"/>
        <v>47.497897236287365</v>
      </c>
      <c r="AH50" s="74">
        <f t="shared" si="30"/>
        <v>34.79950652178654</v>
      </c>
      <c r="AI50" s="28"/>
      <c r="BX50"/>
    </row>
    <row r="51" spans="1:76" ht="16.5">
      <c r="A51" s="18">
        <v>11</v>
      </c>
      <c r="B51" s="4">
        <v>-0.8015244467186982</v>
      </c>
      <c r="C51" s="11">
        <v>243.52097485084414</v>
      </c>
      <c r="D51" s="4">
        <v>-0.42258181905155917</v>
      </c>
      <c r="E51" s="4">
        <f t="shared" si="2"/>
        <v>0.9060997916789518</v>
      </c>
      <c r="F51" s="83">
        <f t="shared" si="3"/>
        <v>1.5112410025334868</v>
      </c>
      <c r="G51" s="86">
        <f t="shared" si="4"/>
        <v>459.14866811377635</v>
      </c>
      <c r="H51" s="88">
        <f t="shared" si="5"/>
        <v>0.7967604412944786</v>
      </c>
      <c r="I51" s="88">
        <f t="shared" si="6"/>
        <v>1.7084134653385845</v>
      </c>
      <c r="J51" s="57">
        <f t="shared" si="7"/>
        <v>1.3154612886412786</v>
      </c>
      <c r="K51" s="11">
        <f t="shared" si="8"/>
        <v>135.1299146827289</v>
      </c>
      <c r="L51" s="11">
        <f t="shared" si="9"/>
        <v>6950.957667471867</v>
      </c>
      <c r="M51" s="15">
        <f t="shared" si="10"/>
        <v>9.082032322099074</v>
      </c>
      <c r="N51" s="11">
        <f t="shared" si="11"/>
        <v>2769.406223580815</v>
      </c>
      <c r="O51" s="11">
        <f t="shared" si="12"/>
        <v>6707.944521962095</v>
      </c>
      <c r="P51" s="11">
        <f t="shared" si="13"/>
        <v>170.92174029834004</v>
      </c>
      <c r="Q51" s="121">
        <f t="shared" si="14"/>
        <v>16743.442100317945</v>
      </c>
      <c r="R51" s="90">
        <f t="shared" si="15"/>
        <v>0.13208677784570644</v>
      </c>
      <c r="S51" s="28"/>
      <c r="T51" s="79">
        <f t="shared" si="16"/>
        <v>2.612668616269123</v>
      </c>
      <c r="U51" s="80">
        <f t="shared" si="17"/>
        <v>1.9506177268721119</v>
      </c>
      <c r="V51" s="80">
        <f t="shared" si="18"/>
        <v>1.3154612886412786</v>
      </c>
      <c r="W51" s="80">
        <f t="shared" si="19"/>
        <v>0.7762885771514093</v>
      </c>
      <c r="X51" s="81">
        <f t="shared" si="20"/>
        <v>0.6492042634592617</v>
      </c>
      <c r="Y51" s="165">
        <f t="shared" si="21"/>
        <v>9540.411024183626</v>
      </c>
      <c r="Z51" s="165">
        <f t="shared" si="22"/>
        <v>8183.919403327876</v>
      </c>
      <c r="AA51" s="165">
        <f t="shared" si="23"/>
        <v>6589.4944590759815</v>
      </c>
      <c r="AB51" s="165">
        <f t="shared" si="24"/>
        <v>4860.141997985016</v>
      </c>
      <c r="AC51" s="165">
        <f t="shared" si="25"/>
        <v>4365.755725237976</v>
      </c>
      <c r="AD51" s="72">
        <f t="shared" si="26"/>
        <v>401.1034162474188</v>
      </c>
      <c r="AE51" s="73">
        <f t="shared" si="27"/>
        <v>239.00626931939902</v>
      </c>
      <c r="AF51" s="73">
        <f t="shared" si="28"/>
        <v>122.0663531133194</v>
      </c>
      <c r="AG51" s="73">
        <f t="shared" si="29"/>
        <v>52.43994979359025</v>
      </c>
      <c r="AH51" s="74">
        <f t="shared" si="30"/>
        <v>39.992713017972775</v>
      </c>
      <c r="AI51" s="28"/>
      <c r="BX51"/>
    </row>
    <row r="52" spans="1:76" ht="16.5">
      <c r="A52" s="18">
        <v>12</v>
      </c>
      <c r="B52" s="4">
        <v>-0.7970047609221869</v>
      </c>
      <c r="C52" s="11">
        <v>241.13815804634072</v>
      </c>
      <c r="D52" s="4">
        <v>-0.4676103714250752</v>
      </c>
      <c r="E52" s="4">
        <f t="shared" si="2"/>
        <v>0.924054137156979</v>
      </c>
      <c r="F52" s="83">
        <f t="shared" si="3"/>
        <v>1.50271932297372</v>
      </c>
      <c r="G52" s="86">
        <f t="shared" si="4"/>
        <v>454.65596614912226</v>
      </c>
      <c r="H52" s="88">
        <f t="shared" si="5"/>
        <v>0.8816599037003537</v>
      </c>
      <c r="I52" s="88">
        <f t="shared" si="6"/>
        <v>1.7422656368738705</v>
      </c>
      <c r="J52" s="57">
        <f t="shared" si="7"/>
        <v>1.3415271222902119</v>
      </c>
      <c r="K52" s="11">
        <f t="shared" si="8"/>
        <v>133.61025347750817</v>
      </c>
      <c r="L52" s="11">
        <f t="shared" si="9"/>
        <v>6865.516570867948</v>
      </c>
      <c r="M52" s="15">
        <f t="shared" si="10"/>
        <v>11.120637822533741</v>
      </c>
      <c r="N52" s="11">
        <f t="shared" si="11"/>
        <v>2864.8664280140924</v>
      </c>
      <c r="O52" s="11">
        <f t="shared" si="12"/>
        <v>6811.824339058124</v>
      </c>
      <c r="P52" s="11">
        <f t="shared" si="13"/>
        <v>174.20418222122774</v>
      </c>
      <c r="Q52" s="121">
        <f t="shared" si="14"/>
        <v>16861.14241146143</v>
      </c>
      <c r="R52" s="90">
        <f t="shared" si="15"/>
        <v>0.13301529987583816</v>
      </c>
      <c r="S52" s="28"/>
      <c r="T52" s="79">
        <f t="shared" si="16"/>
        <v>2.6094461394196604</v>
      </c>
      <c r="U52" s="80">
        <f t="shared" si="17"/>
        <v>1.959678884706817</v>
      </c>
      <c r="V52" s="80">
        <f t="shared" si="18"/>
        <v>1.3415271222902119</v>
      </c>
      <c r="W52" s="80">
        <f t="shared" si="19"/>
        <v>0.8290176237907573</v>
      </c>
      <c r="X52" s="81">
        <f t="shared" si="20"/>
        <v>0.7092721151377699</v>
      </c>
      <c r="Y52" s="165">
        <f t="shared" si="21"/>
        <v>9534.401858784951</v>
      </c>
      <c r="Z52" s="165">
        <f t="shared" si="22"/>
        <v>8204.31360671495</v>
      </c>
      <c r="AA52" s="165">
        <f t="shared" si="23"/>
        <v>6662.458409948806</v>
      </c>
      <c r="AB52" s="165">
        <f t="shared" si="24"/>
        <v>5052.764574379402</v>
      </c>
      <c r="AC52" s="165">
        <f t="shared" si="25"/>
        <v>4605.183245462505</v>
      </c>
      <c r="AD52" s="72">
        <f t="shared" si="26"/>
        <v>400.21503076804817</v>
      </c>
      <c r="AE52" s="73">
        <f t="shared" si="27"/>
        <v>240.94781375302836</v>
      </c>
      <c r="AF52" s="73">
        <f t="shared" si="28"/>
        <v>126.12212739767625</v>
      </c>
      <c r="AG52" s="73">
        <f t="shared" si="29"/>
        <v>58.04835353776951</v>
      </c>
      <c r="AH52" s="74">
        <f t="shared" si="30"/>
        <v>45.68758564961654</v>
      </c>
      <c r="AI52" s="28"/>
      <c r="BX52"/>
    </row>
    <row r="53" spans="1:76" ht="16.5">
      <c r="A53" s="18">
        <v>13</v>
      </c>
      <c r="B53" s="4">
        <v>-0.7918310116276626</v>
      </c>
      <c r="C53" s="11">
        <v>238.16823057209103</v>
      </c>
      <c r="D53" s="4">
        <v>-0.5142884104791888</v>
      </c>
      <c r="E53" s="4">
        <f t="shared" si="2"/>
        <v>0.9441869095303631</v>
      </c>
      <c r="F53" s="83">
        <f t="shared" si="3"/>
        <v>1.492964433896135</v>
      </c>
      <c r="G53" s="86">
        <f t="shared" si="4"/>
        <v>449.0562914392477</v>
      </c>
      <c r="H53" s="88">
        <f t="shared" si="5"/>
        <v>0.969669404627271</v>
      </c>
      <c r="I53" s="88">
        <f t="shared" si="6"/>
        <v>1.7802251417023107</v>
      </c>
      <c r="J53" s="57">
        <f t="shared" si="7"/>
        <v>1.370755561512276</v>
      </c>
      <c r="K53" s="11">
        <f t="shared" si="8"/>
        <v>131.88122420424605</v>
      </c>
      <c r="L53" s="11">
        <f t="shared" si="9"/>
        <v>6766.671631871286</v>
      </c>
      <c r="M53" s="15">
        <f t="shared" si="10"/>
        <v>13.451629650555242</v>
      </c>
      <c r="N53" s="11">
        <f t="shared" si="11"/>
        <v>2973.3145503651845</v>
      </c>
      <c r="O53" s="11">
        <f t="shared" si="12"/>
        <v>6918.4722401420395</v>
      </c>
      <c r="P53" s="11">
        <f t="shared" si="13"/>
        <v>177.81098051064362</v>
      </c>
      <c r="Q53" s="121">
        <f t="shared" si="14"/>
        <v>16981.602256743954</v>
      </c>
      <c r="R53" s="90">
        <f t="shared" si="15"/>
        <v>0.13396559150212559</v>
      </c>
      <c r="S53" s="28"/>
      <c r="T53" s="79">
        <f t="shared" si="16"/>
        <v>2.604608874491793</v>
      </c>
      <c r="U53" s="80">
        <f t="shared" si="17"/>
        <v>1.9694492090662266</v>
      </c>
      <c r="V53" s="80">
        <f t="shared" si="18"/>
        <v>1.370755561512276</v>
      </c>
      <c r="W53" s="80">
        <f t="shared" si="19"/>
        <v>0.8858381658390871</v>
      </c>
      <c r="X53" s="81">
        <f t="shared" si="20"/>
        <v>0.7719750818598702</v>
      </c>
      <c r="Y53" s="165">
        <f t="shared" si="21"/>
        <v>9525.371543226991</v>
      </c>
      <c r="Z53" s="165">
        <f t="shared" si="22"/>
        <v>8226.24052477549</v>
      </c>
      <c r="AA53" s="165">
        <f t="shared" si="23"/>
        <v>6743.3696230807545</v>
      </c>
      <c r="AB53" s="165">
        <f t="shared" si="24"/>
        <v>5253.293303058897</v>
      </c>
      <c r="AC53" s="165">
        <f t="shared" si="25"/>
        <v>4844.08620656806</v>
      </c>
      <c r="AD53" s="72">
        <f t="shared" si="26"/>
        <v>398.8832991524296</v>
      </c>
      <c r="AE53" s="73">
        <f t="shared" si="27"/>
        <v>243.04992559261433</v>
      </c>
      <c r="AF53" s="73">
        <f t="shared" si="28"/>
        <v>130.74565566933376</v>
      </c>
      <c r="AG53" s="73">
        <f t="shared" si="29"/>
        <v>64.38334835865099</v>
      </c>
      <c r="AH53" s="74">
        <f t="shared" si="30"/>
        <v>51.99267378018957</v>
      </c>
      <c r="AI53" s="28"/>
      <c r="BX53"/>
    </row>
    <row r="54" spans="1:76" ht="16.5">
      <c r="A54" s="18">
        <v>14</v>
      </c>
      <c r="B54" s="4">
        <v>-0.7860744857851696</v>
      </c>
      <c r="C54" s="11">
        <v>234.15578260976827</v>
      </c>
      <c r="D54" s="4">
        <v>-0.5627596874814667</v>
      </c>
      <c r="E54" s="4">
        <f t="shared" si="2"/>
        <v>0.96675310346368</v>
      </c>
      <c r="F54" s="83">
        <f t="shared" si="3"/>
        <v>1.4821107438796501</v>
      </c>
      <c r="G54" s="86">
        <f t="shared" si="4"/>
        <v>441.49098771580157</v>
      </c>
      <c r="H54" s="88">
        <f t="shared" si="5"/>
        <v>1.061059981110472</v>
      </c>
      <c r="I54" s="88">
        <f t="shared" si="6"/>
        <v>1.8227727616567144</v>
      </c>
      <c r="J54" s="57">
        <f t="shared" si="7"/>
        <v>1.4035168035121726</v>
      </c>
      <c r="K54" s="11">
        <f t="shared" si="8"/>
        <v>129.97066981990162</v>
      </c>
      <c r="L54" s="11">
        <f t="shared" si="9"/>
        <v>6652.647673063905</v>
      </c>
      <c r="M54" s="15">
        <f t="shared" si="10"/>
        <v>16.106730284367647</v>
      </c>
      <c r="N54" s="11">
        <f t="shared" si="11"/>
        <v>3096.61179499146</v>
      </c>
      <c r="O54" s="11">
        <f t="shared" si="12"/>
        <v>7027.037564244175</v>
      </c>
      <c r="P54" s="11">
        <f t="shared" si="13"/>
        <v>181.65281738726952</v>
      </c>
      <c r="Q54" s="121">
        <f t="shared" si="14"/>
        <v>17104.027249791077</v>
      </c>
      <c r="R54" s="90">
        <f t="shared" si="15"/>
        <v>0.13493138591658893</v>
      </c>
      <c r="S54" s="28"/>
      <c r="T54" s="79">
        <f t="shared" si="16"/>
        <v>2.5961760938577547</v>
      </c>
      <c r="U54" s="80">
        <f t="shared" si="17"/>
        <v>1.979235326516138</v>
      </c>
      <c r="V54" s="80">
        <f t="shared" si="18"/>
        <v>1.4035168035121726</v>
      </c>
      <c r="W54" s="80">
        <f t="shared" si="19"/>
        <v>0.9474128616148583</v>
      </c>
      <c r="X54" s="81">
        <f t="shared" si="20"/>
        <v>0.836999172978163</v>
      </c>
      <c r="Y54" s="165">
        <f t="shared" si="21"/>
        <v>9509.600427242</v>
      </c>
      <c r="Z54" s="165">
        <f t="shared" si="22"/>
        <v>8248.137282520283</v>
      </c>
      <c r="AA54" s="165">
        <f t="shared" si="23"/>
        <v>6832.956004378406</v>
      </c>
      <c r="AB54" s="165">
        <f t="shared" si="24"/>
        <v>5463.1365572393015</v>
      </c>
      <c r="AC54" s="165">
        <f t="shared" si="25"/>
        <v>5081.357549840884</v>
      </c>
      <c r="AD54" s="72">
        <f t="shared" si="26"/>
        <v>396.5669366167755</v>
      </c>
      <c r="AE54" s="73">
        <f t="shared" si="27"/>
        <v>245.16439491426027</v>
      </c>
      <c r="AF54" s="73">
        <f t="shared" si="28"/>
        <v>136.02309860662314</v>
      </c>
      <c r="AG54" s="73">
        <f t="shared" si="29"/>
        <v>71.58967918905842</v>
      </c>
      <c r="AH54" s="74">
        <f t="shared" si="30"/>
        <v>58.919977609630344</v>
      </c>
      <c r="AI54" s="28"/>
      <c r="BX54"/>
    </row>
    <row r="55" spans="1:76" ht="16.5">
      <c r="A55" s="18">
        <v>15</v>
      </c>
      <c r="B55" s="4">
        <v>-0.7797235727397585</v>
      </c>
      <c r="C55" s="11">
        <v>228.70524440167958</v>
      </c>
      <c r="D55" s="4">
        <v>-0.6155142377819834</v>
      </c>
      <c r="E55" s="4">
        <f t="shared" si="2"/>
        <v>0.9933914771118129</v>
      </c>
      <c r="F55" s="83">
        <f t="shared" si="3"/>
        <v>1.4701363615173386</v>
      </c>
      <c r="G55" s="86">
        <f t="shared" si="4"/>
        <v>431.21422465553536</v>
      </c>
      <c r="H55" s="88">
        <f t="shared" si="5"/>
        <v>1.160526491222217</v>
      </c>
      <c r="I55" s="88">
        <f t="shared" si="6"/>
        <v>1.8729983070691734</v>
      </c>
      <c r="J55" s="57">
        <f t="shared" si="7"/>
        <v>1.4421899713555846</v>
      </c>
      <c r="K55" s="11">
        <f t="shared" si="8"/>
        <v>127.87901568534076</v>
      </c>
      <c r="L55" s="11">
        <f t="shared" si="9"/>
        <v>6521.1392033219445</v>
      </c>
      <c r="M55" s="15">
        <f t="shared" si="10"/>
        <v>19.26804417066761</v>
      </c>
      <c r="N55" s="11">
        <f t="shared" si="11"/>
        <v>3244.489171694189</v>
      </c>
      <c r="O55" s="11">
        <f t="shared" si="12"/>
        <v>7143.427818594903</v>
      </c>
      <c r="P55" s="11">
        <f t="shared" si="13"/>
        <v>186.02799239559957</v>
      </c>
      <c r="Q55" s="121">
        <f t="shared" si="14"/>
        <v>17242.231245862647</v>
      </c>
      <c r="R55" s="90">
        <f t="shared" si="15"/>
        <v>0.1360216587778752</v>
      </c>
      <c r="S55" s="28"/>
      <c r="T55" s="79">
        <f t="shared" si="16"/>
        <v>2.583701838930888</v>
      </c>
      <c r="U55" s="80">
        <f t="shared" si="17"/>
        <v>1.9900320275412773</v>
      </c>
      <c r="V55" s="80">
        <f t="shared" si="18"/>
        <v>1.4421899713555846</v>
      </c>
      <c r="W55" s="80">
        <f t="shared" si="19"/>
        <v>1.0171374150086985</v>
      </c>
      <c r="X55" s="81">
        <f t="shared" si="20"/>
        <v>0.9078531231625048</v>
      </c>
      <c r="Y55" s="165">
        <f t="shared" si="21"/>
        <v>9486.20399810736</v>
      </c>
      <c r="Z55" s="165">
        <f t="shared" si="22"/>
        <v>8272.21952742773</v>
      </c>
      <c r="AA55" s="165">
        <f t="shared" si="23"/>
        <v>6937.255157998822</v>
      </c>
      <c r="AB55" s="165">
        <f t="shared" si="24"/>
        <v>5692.288652329246</v>
      </c>
      <c r="AC55" s="165">
        <f t="shared" si="25"/>
        <v>5329.171757111364</v>
      </c>
      <c r="AD55" s="72">
        <f t="shared" si="26"/>
        <v>393.15264907906055</v>
      </c>
      <c r="AE55" s="73">
        <f t="shared" si="27"/>
        <v>247.50762282932695</v>
      </c>
      <c r="AF55" s="73">
        <f t="shared" si="28"/>
        <v>142.38221308522472</v>
      </c>
      <c r="AG55" s="73">
        <f t="shared" si="29"/>
        <v>80.17840243981908</v>
      </c>
      <c r="AH55" s="74">
        <f t="shared" si="30"/>
        <v>66.91907454456654</v>
      </c>
      <c r="AI55" s="28"/>
      <c r="BX55"/>
    </row>
    <row r="56" spans="1:76" ht="16.5">
      <c r="A56" s="15">
        <v>15.673373548625944</v>
      </c>
      <c r="B56" s="4">
        <v>-0.7724384853461057</v>
      </c>
      <c r="C56" s="11">
        <v>221.49363573046517</v>
      </c>
      <c r="D56" s="4">
        <v>-0.6088285186356931</v>
      </c>
      <c r="E56" s="4">
        <f t="shared" si="2"/>
        <v>0.9835310766559023</v>
      </c>
      <c r="F56" s="83">
        <f t="shared" si="3"/>
        <v>1.4564006322811325</v>
      </c>
      <c r="G56" s="86">
        <f t="shared" si="4"/>
        <v>417.61703649392445</v>
      </c>
      <c r="H56" s="88">
        <f t="shared" si="5"/>
        <v>1.147920845883937</v>
      </c>
      <c r="I56" s="88">
        <f t="shared" si="6"/>
        <v>1.8544069321817624</v>
      </c>
      <c r="J56" s="57">
        <f t="shared" si="7"/>
        <v>1.4278747985574354</v>
      </c>
      <c r="K56" s="11">
        <f t="shared" si="8"/>
        <v>125.50058890794901</v>
      </c>
      <c r="L56" s="11">
        <f t="shared" si="9"/>
        <v>6365.968777104288</v>
      </c>
      <c r="M56" s="15">
        <f t="shared" si="10"/>
        <v>18.851738265138057</v>
      </c>
      <c r="N56" s="11">
        <f t="shared" si="11"/>
        <v>3189.4597236485342</v>
      </c>
      <c r="O56" s="11">
        <f t="shared" si="12"/>
        <v>7089.567111694446</v>
      </c>
      <c r="P56" s="11">
        <f t="shared" si="13"/>
        <v>180.95406351633517</v>
      </c>
      <c r="Q56" s="121">
        <f t="shared" si="14"/>
        <v>16970.30200313669</v>
      </c>
      <c r="R56" s="90">
        <f>Q56*J$29*(A56-A55)</f>
        <v>0.09014885705656574</v>
      </c>
      <c r="S56" s="28"/>
      <c r="T56" s="79">
        <f t="shared" si="16"/>
        <v>2.532202566792369</v>
      </c>
      <c r="U56" s="80">
        <f t="shared" si="17"/>
        <v>1.9580259375101652</v>
      </c>
      <c r="V56" s="80">
        <f t="shared" si="18"/>
        <v>1.4278747985574354</v>
      </c>
      <c r="W56" s="80">
        <f t="shared" si="19"/>
        <v>1.0133767534577087</v>
      </c>
      <c r="X56" s="81">
        <f t="shared" si="20"/>
        <v>0.8934112066913583</v>
      </c>
      <c r="Y56" s="165">
        <f t="shared" si="21"/>
        <v>9388.760676010219</v>
      </c>
      <c r="Z56" s="165">
        <f t="shared" si="22"/>
        <v>8200.597502731189</v>
      </c>
      <c r="AA56" s="165">
        <f t="shared" si="23"/>
        <v>6898.8281225602095</v>
      </c>
      <c r="AB56" s="165">
        <f t="shared" si="24"/>
        <v>5680.1438510429225</v>
      </c>
      <c r="AC56" s="165">
        <f t="shared" si="25"/>
        <v>5279.5054061276915</v>
      </c>
      <c r="AD56" s="72">
        <f t="shared" si="26"/>
        <v>379.2111883077949</v>
      </c>
      <c r="AE56" s="73">
        <f t="shared" si="27"/>
        <v>240.5930616375772</v>
      </c>
      <c r="AF56" s="73">
        <f t="shared" si="28"/>
        <v>140.0120136614999</v>
      </c>
      <c r="AG56" s="73">
        <f t="shared" si="29"/>
        <v>79.70354797505291</v>
      </c>
      <c r="AH56" s="74">
        <f t="shared" si="30"/>
        <v>65.250505999751</v>
      </c>
      <c r="AI56" s="28"/>
      <c r="BX56"/>
    </row>
    <row r="57" spans="2:76" ht="6" customHeight="1">
      <c r="B57" s="4"/>
      <c r="D57" s="4"/>
      <c r="E57" s="4"/>
      <c r="F57" s="83"/>
      <c r="G57" s="86"/>
      <c r="H57" s="88"/>
      <c r="I57" s="88"/>
      <c r="J57" s="57"/>
      <c r="L57" s="11"/>
      <c r="M57" s="15"/>
      <c r="N57" s="11"/>
      <c r="O57" s="11"/>
      <c r="P57" s="11"/>
      <c r="Q57" s="121"/>
      <c r="R57" s="90"/>
      <c r="S57" s="28"/>
      <c r="T57" s="79"/>
      <c r="U57" s="80"/>
      <c r="V57" s="80"/>
      <c r="W57" s="80"/>
      <c r="X57" s="81"/>
      <c r="Y57" s="165"/>
      <c r="Z57" s="165"/>
      <c r="AA57" s="165"/>
      <c r="AB57" s="165"/>
      <c r="AC57" s="165"/>
      <c r="AD57" s="64"/>
      <c r="AE57" s="65"/>
      <c r="AF57" s="65"/>
      <c r="AG57" s="65"/>
      <c r="AH57" s="66"/>
      <c r="AI57" s="28"/>
      <c r="BX57"/>
    </row>
    <row r="58" spans="1:76" ht="16.5">
      <c r="A58" s="15">
        <f>I25</f>
        <v>17.081863443783423</v>
      </c>
      <c r="B58" s="4">
        <v>-0.7697157603408762</v>
      </c>
      <c r="C58" s="11">
        <v>221.1340494294688</v>
      </c>
      <c r="D58" s="4">
        <v>-0.471884695094082</v>
      </c>
      <c r="E58" s="4">
        <f aca="true" t="shared" si="31" ref="E58:E77">SQRT(B58^2+D58^2)</f>
        <v>0.9028496647732489</v>
      </c>
      <c r="F58" s="83">
        <f aca="true" t="shared" si="32" ref="F58:F77">-B58*$E$29*(1-$E$33)/$E$30/$E$34</f>
        <v>1.4512670475434857</v>
      </c>
      <c r="G58" s="86">
        <f aca="true" t="shared" si="33" ref="G58:G77">C58*$E$29*(1-$E$33)/$E$30/$E$34</f>
        <v>416.93905148144006</v>
      </c>
      <c r="H58" s="88">
        <f aca="true" t="shared" si="34" ref="H58:H77">-D58*$E$29*(1-$E$33)/$E$30/$E$34</f>
        <v>0.8897189631752664</v>
      </c>
      <c r="I58" s="88">
        <f aca="true" t="shared" si="35" ref="I58:I77">E58*$E$29*(1-$E$33)/$E$30/$E$34</f>
        <v>1.70228548625642</v>
      </c>
      <c r="J58" s="57">
        <f aca="true" t="shared" si="36" ref="J58:J77">E58*E$29/E$30</f>
        <v>1.3107428060117865</v>
      </c>
      <c r="K58" s="11">
        <f aca="true" t="shared" si="37" ref="K58:K77">L$33*E$14/120*F58^2/E$8*E$7*E$10*(E$10-1)*E$5/E$6</f>
        <v>124.61740824782206</v>
      </c>
      <c r="L58" s="11">
        <f aca="true" t="shared" si="38" ref="L58:L77">L$34*E$14/6*F58^2/E$9*E$7*E$5/E$6*(1+(G58*E$5/F58)^2/15)</f>
        <v>6323.942690424484</v>
      </c>
      <c r="M58" s="15">
        <f aca="true" t="shared" si="39" ref="M58:M77">L$35*E$14/8*H58^2/E$9*E$7*E$6/E$5</f>
        <v>11.324869608957568</v>
      </c>
      <c r="N58" s="11">
        <f aca="true" t="shared" si="40" ref="N58:N77">E$14*E$15*(E$12/E$11)^2*J58*(1-E$33)/E$34^2*(E$20/2/PI())^2/E$19*LN((E$18+E$19*J58)/(E$18+E$19*E$33*J58))</f>
        <v>2752.2534311964732</v>
      </c>
      <c r="O58" s="11">
        <f aca="true" t="shared" si="41" ref="O58:O77">(Y58+Z58+AA58+AB58+AC58)/5</f>
        <v>6700.855264177151</v>
      </c>
      <c r="P58" s="11">
        <f aca="true" t="shared" si="42" ref="P58:P77">(AD58+AE58+AF58+AG58+AH58)/5</f>
        <v>161.84498921633045</v>
      </c>
      <c r="Q58" s="121">
        <f aca="true" t="shared" si="43" ref="Q58:Q77">SUM(K58:P58)</f>
        <v>16074.838652871218</v>
      </c>
      <c r="R58" s="90">
        <f>Q58*J$29*(A59-A58)</f>
        <v>0.11643096669936155</v>
      </c>
      <c r="S58" s="28"/>
      <c r="T58" s="79">
        <f aca="true" t="shared" si="44" ref="T58:T77">SQRT(($B58-$C58*0.8*$E$5)^2+$D58^2)*$E$29/$E$30</f>
        <v>2.464092880330381</v>
      </c>
      <c r="U58" s="80">
        <f aca="true" t="shared" si="45" ref="U58:U77">SQRT(($B58-$C58*0.4*$E$5)^2+$D58^2)*$E$29/$E$30</f>
        <v>1.8720571623153024</v>
      </c>
      <c r="V58" s="80">
        <f aca="true" t="shared" si="46" ref="V58:V77">SQRT(($B58)^2+$D58^2)*$E$29/$E$30</f>
        <v>1.3107428060117865</v>
      </c>
      <c r="W58" s="80">
        <f aca="true" t="shared" si="47" ref="W58:W77">SQRT(($B58+$C58*0.4*$E$5)^2+$D58^2)*$E$29/$E$30</f>
        <v>0.8438600455654737</v>
      </c>
      <c r="X58" s="81">
        <f aca="true" t="shared" si="48" ref="X58:X77">SQRT(($B58+$C58*0.8*$E$5)^2+$D58^2)*$E$29/$E$30</f>
        <v>0.6976798964757097</v>
      </c>
      <c r="Y58" s="165">
        <f aca="true" t="shared" si="49" ref="Y58:Y77">$L$36*$E$14*$E$15*$E$17/$E$34*2/3*$E$21/PI()*($E$22*$E$23*LN((T58+$E$23)/($E$33*T58+$E$23))+$E$24*T58*(1-$E$33)+$E$25*T58^2/2*(1-$E$33^2))</f>
        <v>9257.74517640563</v>
      </c>
      <c r="Z58" s="165">
        <f aca="true" t="shared" si="50" ref="Z58:Z77">$L$36*$E$14*$E$15*$E$17/$E$34*2/3*$E$21/PI()*($E$22*$E$23*LN((U58+$E$23)/($E$33*U58+$E$23))+$E$24*U58*(1-$E$33)+$E$25*U58^2/2*(1-$E$33^2))</f>
        <v>8004.680762988963</v>
      </c>
      <c r="AA58" s="165">
        <f aca="true" t="shared" si="51" ref="AA58:AA77">$L$36*$E$14*$E$15*$E$17/$E$34*2/3*$E$21/PI()*($E$22*$E$23*LN((V58+$E$23)/($E$33*V58+$E$23))+$E$24*V58*(1-$E$33)+$E$25*V58^2/2*(1-$E$33^2))</f>
        <v>6576.203300863814</v>
      </c>
      <c r="AB58" s="165">
        <f aca="true" t="shared" si="52" ref="AB58:AB77">$L$36*$E$14*$E$15*$E$17/$E$34*2/3*$E$21/PI()*($E$22*$E$23*LN((W58+$E$23)/($E$33*W58+$E$23))+$E$24*W58*(1-$E$33)+$E$25*W58^2/2*(1-$E$33^2))</f>
        <v>5105.822099389593</v>
      </c>
      <c r="AC58" s="165">
        <f aca="true" t="shared" si="53" ref="AC58:AC77">$L$36*$E$14*$E$15*$E$17/$E$34*2/3*$E$21/PI()*($E$22*$E$23*LN((X58+$E$23)/($E$33*X58+$E$23))+$E$24*X58*(1-$E$33)+$E$25*X58^2/2*(1-$E$33^2))</f>
        <v>4559.8249812377635</v>
      </c>
      <c r="AD58" s="72">
        <f aca="true" t="shared" si="54" ref="AD58:AD77">1/9/PI()*$E$21/$E$34*$E$28^2*T58*(3*T58+4*$E$27)/($E$26*$E$27*$E$14*$E$15*$E$17*16*$E$5^2*$E$6^2)</f>
        <v>361.1544731186572</v>
      </c>
      <c r="AE58" s="73">
        <f aca="true" t="shared" si="55" ref="AE58:AE77">1/9/PI()*$E$21/$E$34*$E$28^2*U58*(3*U58+4*$E$27)/($E$26*$E$27*$E$14*$E$15*$E$17*16*$E$5^2*$E$6^2)</f>
        <v>222.4952663722144</v>
      </c>
      <c r="AF58" s="73">
        <f aca="true" t="shared" si="56" ref="AF58:AF77">1/9/PI()*$E$21/$E$34*$E$28^2*V58*(3*V58+4*$E$27)/($E$26*$E$27*$E$14*$E$15*$E$17*16*$E$5^2*$E$6^2)</f>
        <v>121.33896992836293</v>
      </c>
      <c r="AG58" s="73">
        <f aca="true" t="shared" si="57" ref="AG58:AG77">1/9/PI()*$E$21/$E$34*$E$28^2*W58*(3*W58+4*$E$27)/($E$26*$E$27*$E$14*$E$15*$E$17*16*$E$5^2*$E$6^2)</f>
        <v>59.67398561120284</v>
      </c>
      <c r="AH58" s="74">
        <f aca="true" t="shared" si="58" ref="AH58:AH77">1/9/PI()*$E$21/$E$34*$E$28^2*X58*(3*X58+4*$E$27)/($E$26*$E$27*$E$14*$E$15*$E$17*16*$E$5^2*$E$6^2)</f>
        <v>44.562251051214865</v>
      </c>
      <c r="AI58" s="28"/>
      <c r="BX58"/>
    </row>
    <row r="59" spans="1:76" ht="16.5">
      <c r="A59" s="18">
        <v>18</v>
      </c>
      <c r="B59" s="4">
        <v>-0.7688376834784396</v>
      </c>
      <c r="C59" s="11">
        <v>227.4487999096361</v>
      </c>
      <c r="D59" s="4">
        <v>-0.4725847095030641</v>
      </c>
      <c r="E59" s="4">
        <f t="shared" si="31"/>
        <v>0.9024675568642835</v>
      </c>
      <c r="F59" s="83">
        <f t="shared" si="32"/>
        <v>1.4496114701455378</v>
      </c>
      <c r="G59" s="86">
        <f t="shared" si="33"/>
        <v>428.8452508312724</v>
      </c>
      <c r="H59" s="88">
        <f t="shared" si="34"/>
        <v>0.8910388112242548</v>
      </c>
      <c r="I59" s="88">
        <f t="shared" si="35"/>
        <v>1.7015650376889624</v>
      </c>
      <c r="J59" s="57">
        <f t="shared" si="36"/>
        <v>1.3101880678174467</v>
      </c>
      <c r="K59" s="11">
        <f t="shared" si="37"/>
        <v>124.33324816101032</v>
      </c>
      <c r="L59" s="11">
        <f t="shared" si="38"/>
        <v>6353.395686686155</v>
      </c>
      <c r="M59" s="15">
        <f t="shared" si="39"/>
        <v>11.358494144960341</v>
      </c>
      <c r="N59" s="11">
        <f t="shared" si="40"/>
        <v>2750.23941023149</v>
      </c>
      <c r="O59" s="11">
        <f t="shared" si="41"/>
        <v>6720.425954873741</v>
      </c>
      <c r="P59" s="11">
        <f t="shared" si="42"/>
        <v>164.1892193991111</v>
      </c>
      <c r="Q59" s="121">
        <f t="shared" si="43"/>
        <v>16123.94201349647</v>
      </c>
      <c r="R59" s="90">
        <f aca="true" t="shared" si="59" ref="R59:R76">Q59*J$29</f>
        <v>0.1271996244244974</v>
      </c>
      <c r="S59" s="28"/>
      <c r="T59" s="79">
        <f t="shared" si="44"/>
        <v>2.4974394636951334</v>
      </c>
      <c r="U59" s="80">
        <f t="shared" si="45"/>
        <v>1.8878524178810585</v>
      </c>
      <c r="V59" s="80">
        <f t="shared" si="46"/>
        <v>1.3101880678174467</v>
      </c>
      <c r="W59" s="80">
        <f t="shared" si="47"/>
        <v>0.8336797579870832</v>
      </c>
      <c r="X59" s="81">
        <f t="shared" si="48"/>
        <v>0.7065934115019195</v>
      </c>
      <c r="Y59" s="165">
        <f t="shared" si="49"/>
        <v>9322.198846769541</v>
      </c>
      <c r="Z59" s="165">
        <f t="shared" si="50"/>
        <v>8041.0719035708435</v>
      </c>
      <c r="AA59" s="165">
        <f t="shared" si="51"/>
        <v>6574.63900630589</v>
      </c>
      <c r="AB59" s="165">
        <f t="shared" si="52"/>
        <v>5069.483519664742</v>
      </c>
      <c r="AC59" s="165">
        <f t="shared" si="53"/>
        <v>4594.736498057691</v>
      </c>
      <c r="AD59" s="72">
        <f t="shared" si="54"/>
        <v>369.9407927819015</v>
      </c>
      <c r="AE59" s="73">
        <f t="shared" si="55"/>
        <v>225.7685287372443</v>
      </c>
      <c r="AF59" s="73">
        <f t="shared" si="56"/>
        <v>121.25359056223849</v>
      </c>
      <c r="AG59" s="73">
        <f t="shared" si="57"/>
        <v>58.556756824161106</v>
      </c>
      <c r="AH59" s="74">
        <f t="shared" si="58"/>
        <v>45.426428090010226</v>
      </c>
      <c r="AI59" s="28"/>
      <c r="BX59"/>
    </row>
    <row r="60" spans="1:76" ht="16.5">
      <c r="A60" s="18">
        <v>19</v>
      </c>
      <c r="B60" s="4">
        <v>-0.7670354695833996</v>
      </c>
      <c r="C60" s="11">
        <v>231.74178888809186</v>
      </c>
      <c r="D60" s="4">
        <v>-0.5261554631417936</v>
      </c>
      <c r="E60" s="4">
        <f t="shared" si="31"/>
        <v>0.9301521289514859</v>
      </c>
      <c r="F60" s="83">
        <f t="shared" si="32"/>
        <v>1.4462134708148</v>
      </c>
      <c r="G60" s="86">
        <f t="shared" si="33"/>
        <v>436.93950297071285</v>
      </c>
      <c r="H60" s="88">
        <f t="shared" si="34"/>
        <v>0.9920442387778338</v>
      </c>
      <c r="I60" s="88">
        <f t="shared" si="35"/>
        <v>1.7537631467386017</v>
      </c>
      <c r="J60" s="57">
        <f t="shared" si="36"/>
        <v>1.3503800899410068</v>
      </c>
      <c r="K60" s="11">
        <f t="shared" si="37"/>
        <v>123.75103818943977</v>
      </c>
      <c r="L60" s="11">
        <f t="shared" si="38"/>
        <v>6356.630337759381</v>
      </c>
      <c r="M60" s="15">
        <f t="shared" si="39"/>
        <v>14.079576598058573</v>
      </c>
      <c r="N60" s="11">
        <f t="shared" si="40"/>
        <v>2897.558166918476</v>
      </c>
      <c r="O60" s="11">
        <f t="shared" si="41"/>
        <v>6879.501946516337</v>
      </c>
      <c r="P60" s="11">
        <f t="shared" si="42"/>
        <v>172.29799310289806</v>
      </c>
      <c r="Q60" s="121">
        <f t="shared" si="43"/>
        <v>16443.81905908459</v>
      </c>
      <c r="R60" s="90">
        <f t="shared" si="59"/>
        <v>0.1297230917023361</v>
      </c>
      <c r="S60" s="28"/>
      <c r="T60" s="79">
        <f t="shared" si="44"/>
        <v>2.540545676029889</v>
      </c>
      <c r="U60" s="80">
        <f t="shared" si="45"/>
        <v>1.9262148544842597</v>
      </c>
      <c r="V60" s="80">
        <f t="shared" si="46"/>
        <v>1.3503800899410068</v>
      </c>
      <c r="W60" s="80">
        <f t="shared" si="47"/>
        <v>0.8910895000020812</v>
      </c>
      <c r="X60" s="81">
        <f t="shared" si="48"/>
        <v>0.7885721240003665</v>
      </c>
      <c r="Y60" s="165">
        <f t="shared" si="49"/>
        <v>9404.640728733666</v>
      </c>
      <c r="Z60" s="165">
        <f t="shared" si="50"/>
        <v>8128.711222656188</v>
      </c>
      <c r="AA60" s="165">
        <f t="shared" si="51"/>
        <v>6687.065373990149</v>
      </c>
      <c r="AB60" s="165">
        <f t="shared" si="52"/>
        <v>5271.481832907455</v>
      </c>
      <c r="AC60" s="165">
        <f t="shared" si="53"/>
        <v>4905.610574294225</v>
      </c>
      <c r="AD60" s="72">
        <f t="shared" si="54"/>
        <v>381.4529103504459</v>
      </c>
      <c r="AE60" s="73">
        <f t="shared" si="55"/>
        <v>233.81566863000668</v>
      </c>
      <c r="AF60" s="73">
        <f t="shared" si="56"/>
        <v>127.5140977778434</v>
      </c>
      <c r="AG60" s="73">
        <f t="shared" si="57"/>
        <v>64.98408617968289</v>
      </c>
      <c r="AH60" s="74">
        <f t="shared" si="58"/>
        <v>53.7232025765114</v>
      </c>
      <c r="AI60" s="28"/>
      <c r="BX60"/>
    </row>
    <row r="61" spans="1:76" ht="16.5">
      <c r="A61" s="18">
        <v>20</v>
      </c>
      <c r="B61" s="4">
        <v>-0.7645686420397677</v>
      </c>
      <c r="C61" s="11">
        <v>234.49299316708385</v>
      </c>
      <c r="D61" s="4">
        <v>-0.5768430116951416</v>
      </c>
      <c r="E61" s="4">
        <f t="shared" si="31"/>
        <v>0.9577646206307977</v>
      </c>
      <c r="F61" s="83">
        <f t="shared" si="32"/>
        <v>1.4415623700961915</v>
      </c>
      <c r="G61" s="86">
        <f t="shared" si="33"/>
        <v>442.1267841943603</v>
      </c>
      <c r="H61" s="88">
        <f t="shared" si="34"/>
        <v>1.0876135030782776</v>
      </c>
      <c r="I61" s="88">
        <f t="shared" si="35"/>
        <v>1.8058253511775584</v>
      </c>
      <c r="J61" s="57">
        <f t="shared" si="36"/>
        <v>1.3904674668730324</v>
      </c>
      <c r="K61" s="11">
        <f t="shared" si="37"/>
        <v>122.95633808687415</v>
      </c>
      <c r="L61" s="11">
        <f t="shared" si="38"/>
        <v>6340.063160169997</v>
      </c>
      <c r="M61" s="15">
        <f t="shared" si="39"/>
        <v>16.92297441840687</v>
      </c>
      <c r="N61" s="11">
        <f t="shared" si="40"/>
        <v>3047.281698931077</v>
      </c>
      <c r="O61" s="11">
        <f t="shared" si="41"/>
        <v>7024.463042525058</v>
      </c>
      <c r="P61" s="11">
        <f t="shared" si="42"/>
        <v>179.91765005718656</v>
      </c>
      <c r="Q61" s="121">
        <f t="shared" si="43"/>
        <v>16731.604864188597</v>
      </c>
      <c r="R61" s="90">
        <f t="shared" si="59"/>
        <v>0.13199339547130837</v>
      </c>
      <c r="S61" s="28"/>
      <c r="T61" s="79">
        <f t="shared" si="44"/>
        <v>2.5749425554195464</v>
      </c>
      <c r="U61" s="80">
        <f t="shared" si="45"/>
        <v>1.9603521942900513</v>
      </c>
      <c r="V61" s="80">
        <f t="shared" si="46"/>
        <v>1.3904674668730324</v>
      </c>
      <c r="W61" s="80">
        <f t="shared" si="47"/>
        <v>0.9495189919290761</v>
      </c>
      <c r="X61" s="81">
        <f t="shared" si="48"/>
        <v>0.8646041547800493</v>
      </c>
      <c r="Y61" s="165">
        <f t="shared" si="49"/>
        <v>9469.72741329864</v>
      </c>
      <c r="Z61" s="165">
        <f t="shared" si="50"/>
        <v>8205.826780055933</v>
      </c>
      <c r="AA61" s="165">
        <f t="shared" si="51"/>
        <v>6797.409910504079</v>
      </c>
      <c r="AB61" s="165">
        <f t="shared" si="52"/>
        <v>5470.185733419404</v>
      </c>
      <c r="AC61" s="165">
        <f t="shared" si="53"/>
        <v>5179.165375347232</v>
      </c>
      <c r="AD61" s="72">
        <f t="shared" si="54"/>
        <v>390.7638813961216</v>
      </c>
      <c r="AE61" s="73">
        <f t="shared" si="55"/>
        <v>241.0923913920972</v>
      </c>
      <c r="AF61" s="73">
        <f t="shared" si="56"/>
        <v>133.90896494333936</v>
      </c>
      <c r="AG61" s="73">
        <f t="shared" si="57"/>
        <v>71.84244682234973</v>
      </c>
      <c r="AH61" s="74">
        <f t="shared" si="58"/>
        <v>61.980565732024886</v>
      </c>
      <c r="AI61" s="28"/>
      <c r="BX61"/>
    </row>
    <row r="62" spans="1:76" ht="16.5">
      <c r="A62" s="18">
        <v>21</v>
      </c>
      <c r="B62" s="4">
        <v>-0.7616067160810989</v>
      </c>
      <c r="C62" s="11">
        <v>236.30574107714503</v>
      </c>
      <c r="D62" s="4">
        <v>-0.62632377474028</v>
      </c>
      <c r="E62" s="4">
        <f t="shared" si="31"/>
        <v>0.986066052952209</v>
      </c>
      <c r="F62" s="83">
        <f t="shared" si="32"/>
        <v>1.4359777819110984</v>
      </c>
      <c r="G62" s="86">
        <f t="shared" si="33"/>
        <v>445.5446449722272</v>
      </c>
      <c r="H62" s="88">
        <f t="shared" si="34"/>
        <v>1.1809074235027668</v>
      </c>
      <c r="I62" s="88">
        <f t="shared" si="35"/>
        <v>1.8591865245386923</v>
      </c>
      <c r="J62" s="57">
        <f t="shared" si="36"/>
        <v>1.4315550368888401</v>
      </c>
      <c r="K62" s="11">
        <f t="shared" si="37"/>
        <v>122.00552184529468</v>
      </c>
      <c r="L62" s="11">
        <f t="shared" si="38"/>
        <v>6310.089678079196</v>
      </c>
      <c r="M62" s="15">
        <f t="shared" si="39"/>
        <v>19.95074977318595</v>
      </c>
      <c r="N62" s="11">
        <f t="shared" si="40"/>
        <v>3203.574480413091</v>
      </c>
      <c r="O62" s="11">
        <f t="shared" si="41"/>
        <v>7162.143625295755</v>
      </c>
      <c r="P62" s="11">
        <f t="shared" si="42"/>
        <v>187.45917515453115</v>
      </c>
      <c r="Q62" s="121">
        <f t="shared" si="43"/>
        <v>17005.223230561052</v>
      </c>
      <c r="R62" s="90">
        <f t="shared" si="59"/>
        <v>0.13415193420886323</v>
      </c>
      <c r="S62" s="28"/>
      <c r="T62" s="79">
        <f t="shared" si="44"/>
        <v>2.604761388943558</v>
      </c>
      <c r="U62" s="80">
        <f t="shared" si="45"/>
        <v>1.9928297230787813</v>
      </c>
      <c r="V62" s="80">
        <f t="shared" si="46"/>
        <v>1.4315550368888401</v>
      </c>
      <c r="W62" s="80">
        <f t="shared" si="47"/>
        <v>1.0093168227557925</v>
      </c>
      <c r="X62" s="81">
        <f t="shared" si="48"/>
        <v>0.9378071125526666</v>
      </c>
      <c r="Y62" s="165">
        <f t="shared" si="49"/>
        <v>9525.656443141082</v>
      </c>
      <c r="Z62" s="165">
        <f t="shared" si="50"/>
        <v>8278.446938447452</v>
      </c>
      <c r="AA62" s="165">
        <f t="shared" si="51"/>
        <v>6908.727232893137</v>
      </c>
      <c r="AB62" s="165">
        <f t="shared" si="52"/>
        <v>5667.005931766528</v>
      </c>
      <c r="AC62" s="165">
        <f t="shared" si="53"/>
        <v>5430.881580230574</v>
      </c>
      <c r="AD62" s="72">
        <f t="shared" si="54"/>
        <v>398.92525395920717</v>
      </c>
      <c r="AE62" s="73">
        <f t="shared" si="55"/>
        <v>248.11659236516843</v>
      </c>
      <c r="AF62" s="73">
        <f t="shared" si="56"/>
        <v>140.61952774324533</v>
      </c>
      <c r="AG62" s="73">
        <f t="shared" si="57"/>
        <v>79.19239156438789</v>
      </c>
      <c r="AH62" s="74">
        <f t="shared" si="58"/>
        <v>70.44211014064697</v>
      </c>
      <c r="AI62" s="28"/>
      <c r="BX62"/>
    </row>
    <row r="63" spans="1:76" ht="16.5">
      <c r="A63" s="18">
        <v>22</v>
      </c>
      <c r="B63" s="4">
        <v>-0.7579205845403099</v>
      </c>
      <c r="C63" s="11">
        <v>237.4021344915991</v>
      </c>
      <c r="D63" s="4">
        <v>-0.6748782498644672</v>
      </c>
      <c r="E63" s="4">
        <f t="shared" si="31"/>
        <v>1.0148419899718633</v>
      </c>
      <c r="F63" s="83">
        <f t="shared" si="32"/>
        <v>1.4290277342263678</v>
      </c>
      <c r="G63" s="86">
        <f t="shared" si="33"/>
        <v>447.6118491474883</v>
      </c>
      <c r="H63" s="88">
        <f t="shared" si="34"/>
        <v>1.2724548665839588</v>
      </c>
      <c r="I63" s="88">
        <f t="shared" si="35"/>
        <v>1.913442356769952</v>
      </c>
      <c r="J63" s="57">
        <f t="shared" si="36"/>
        <v>1.4733314852903943</v>
      </c>
      <c r="K63" s="11">
        <f t="shared" si="37"/>
        <v>120.82738078300098</v>
      </c>
      <c r="L63" s="11">
        <f t="shared" si="38"/>
        <v>6264.931273137203</v>
      </c>
      <c r="M63" s="15">
        <f t="shared" si="39"/>
        <v>23.16393247872452</v>
      </c>
      <c r="N63" s="11">
        <f t="shared" si="40"/>
        <v>3365.3717908086505</v>
      </c>
      <c r="O63" s="11">
        <f t="shared" si="41"/>
        <v>7293.6146185398975</v>
      </c>
      <c r="P63" s="11">
        <f t="shared" si="42"/>
        <v>194.9696882167297</v>
      </c>
      <c r="Q63" s="121">
        <f t="shared" si="43"/>
        <v>17262.87868396421</v>
      </c>
      <c r="R63" s="90">
        <f t="shared" si="59"/>
        <v>0.1361845436586102</v>
      </c>
      <c r="S63" s="28"/>
      <c r="T63" s="79">
        <f t="shared" si="44"/>
        <v>2.630981161609265</v>
      </c>
      <c r="U63" s="80">
        <f t="shared" si="45"/>
        <v>2.023991801525707</v>
      </c>
      <c r="V63" s="80">
        <f t="shared" si="46"/>
        <v>1.4733314852903943</v>
      </c>
      <c r="W63" s="80">
        <f t="shared" si="47"/>
        <v>1.0698366377428876</v>
      </c>
      <c r="X63" s="81">
        <f t="shared" si="48"/>
        <v>1.008998072530517</v>
      </c>
      <c r="Y63" s="165">
        <f t="shared" si="49"/>
        <v>9574.45932443358</v>
      </c>
      <c r="Z63" s="165">
        <f t="shared" si="50"/>
        <v>8347.454922508574</v>
      </c>
      <c r="AA63" s="165">
        <f t="shared" si="51"/>
        <v>7020.134780629341</v>
      </c>
      <c r="AB63" s="165">
        <f t="shared" si="52"/>
        <v>5860.050783851076</v>
      </c>
      <c r="AC63" s="165">
        <f t="shared" si="53"/>
        <v>5665.973281276917</v>
      </c>
      <c r="AD63" s="72">
        <f t="shared" si="54"/>
        <v>406.1703550359451</v>
      </c>
      <c r="AE63" s="73">
        <f t="shared" si="55"/>
        <v>254.94913038195833</v>
      </c>
      <c r="AF63" s="73">
        <f t="shared" si="56"/>
        <v>147.60466346423365</v>
      </c>
      <c r="AG63" s="73">
        <f t="shared" si="57"/>
        <v>86.97196682459915</v>
      </c>
      <c r="AH63" s="74">
        <f t="shared" si="58"/>
        <v>79.15232537691237</v>
      </c>
      <c r="AI63" s="28"/>
      <c r="BX63"/>
    </row>
    <row r="64" spans="1:76" ht="16.5">
      <c r="A64" s="18">
        <v>23</v>
      </c>
      <c r="B64" s="4">
        <v>-0.7536309780371777</v>
      </c>
      <c r="C64" s="11">
        <v>237.89539745988625</v>
      </c>
      <c r="D64" s="4">
        <v>-0.7229495947682708</v>
      </c>
      <c r="E64" s="4">
        <f t="shared" si="31"/>
        <v>1.044325508466053</v>
      </c>
      <c r="F64" s="83">
        <f t="shared" si="32"/>
        <v>1.420939859603446</v>
      </c>
      <c r="G64" s="86">
        <f t="shared" si="33"/>
        <v>448.5418759554772</v>
      </c>
      <c r="H64" s="88">
        <f t="shared" si="34"/>
        <v>1.3630913877318327</v>
      </c>
      <c r="I64" s="88">
        <f t="shared" si="35"/>
        <v>1.969032304437526</v>
      </c>
      <c r="J64" s="57">
        <f t="shared" si="36"/>
        <v>1.5161351892402433</v>
      </c>
      <c r="K64" s="11">
        <f t="shared" si="37"/>
        <v>119.46355662762349</v>
      </c>
      <c r="L64" s="11">
        <f t="shared" si="38"/>
        <v>6207.189985036495</v>
      </c>
      <c r="M64" s="15">
        <f t="shared" si="39"/>
        <v>26.581376321010897</v>
      </c>
      <c r="N64" s="11">
        <f t="shared" si="40"/>
        <v>3534.1051433322978</v>
      </c>
      <c r="O64" s="11">
        <f t="shared" si="41"/>
        <v>7420.751770981957</v>
      </c>
      <c r="P64" s="11">
        <f t="shared" si="42"/>
        <v>202.5604287551102</v>
      </c>
      <c r="Q64" s="121">
        <f t="shared" si="43"/>
        <v>17510.652261054493</v>
      </c>
      <c r="R64" s="90">
        <f t="shared" si="59"/>
        <v>0.1381391963063199</v>
      </c>
      <c r="S64" s="28"/>
      <c r="T64" s="79">
        <f t="shared" si="44"/>
        <v>2.6545995077115183</v>
      </c>
      <c r="U64" s="80">
        <f t="shared" si="45"/>
        <v>2.054524279248548</v>
      </c>
      <c r="V64" s="80">
        <f t="shared" si="46"/>
        <v>1.5161351892402433</v>
      </c>
      <c r="W64" s="80">
        <f t="shared" si="47"/>
        <v>1.1312321779522463</v>
      </c>
      <c r="X64" s="81">
        <f t="shared" si="48"/>
        <v>1.0789490252870473</v>
      </c>
      <c r="Y64" s="165">
        <f t="shared" si="49"/>
        <v>9618.122065044096</v>
      </c>
      <c r="Z64" s="165">
        <f t="shared" si="50"/>
        <v>8414.442803394619</v>
      </c>
      <c r="AA64" s="165">
        <f t="shared" si="51"/>
        <v>7132.495144929378</v>
      </c>
      <c r="AB64" s="165">
        <f t="shared" si="52"/>
        <v>6050.085214366882</v>
      </c>
      <c r="AC64" s="165">
        <f t="shared" si="53"/>
        <v>5888.613627174818</v>
      </c>
      <c r="AD64" s="72">
        <f t="shared" si="54"/>
        <v>412.75173042004496</v>
      </c>
      <c r="AE64" s="73">
        <f t="shared" si="55"/>
        <v>261.7318084202642</v>
      </c>
      <c r="AF64" s="73">
        <f t="shared" si="56"/>
        <v>154.93104596171398</v>
      </c>
      <c r="AG64" s="73">
        <f t="shared" si="57"/>
        <v>95.21452698458513</v>
      </c>
      <c r="AH64" s="74">
        <f t="shared" si="58"/>
        <v>88.1730319889427</v>
      </c>
      <c r="AI64" s="28"/>
      <c r="BX64"/>
    </row>
    <row r="65" spans="1:76" ht="16.5">
      <c r="A65" s="18">
        <v>24</v>
      </c>
      <c r="B65" s="4">
        <v>-0.7488749448917655</v>
      </c>
      <c r="C65" s="11">
        <v>237.88242897712766</v>
      </c>
      <c r="D65" s="4">
        <v>-0.770882918956559</v>
      </c>
      <c r="E65" s="4">
        <f t="shared" si="31"/>
        <v>1.074743763799367</v>
      </c>
      <c r="F65" s="83">
        <f t="shared" si="32"/>
        <v>1.4119725569488861</v>
      </c>
      <c r="G65" s="86">
        <f t="shared" si="33"/>
        <v>448.51742442069786</v>
      </c>
      <c r="H65" s="88">
        <f t="shared" si="34"/>
        <v>1.4534676765619778</v>
      </c>
      <c r="I65" s="88">
        <f t="shared" si="35"/>
        <v>2.0263846595321557</v>
      </c>
      <c r="J65" s="57">
        <f t="shared" si="36"/>
        <v>1.560295929289457</v>
      </c>
      <c r="K65" s="11">
        <f t="shared" si="37"/>
        <v>117.96048726745121</v>
      </c>
      <c r="L65" s="11">
        <f t="shared" si="38"/>
        <v>6139.61108993253</v>
      </c>
      <c r="M65" s="15">
        <f t="shared" si="39"/>
        <v>30.22304879015889</v>
      </c>
      <c r="N65" s="11">
        <f t="shared" si="40"/>
        <v>3711.263860904228</v>
      </c>
      <c r="O65" s="11">
        <f t="shared" si="41"/>
        <v>7545.10571720714</v>
      </c>
      <c r="P65" s="11">
        <f t="shared" si="42"/>
        <v>210.341672142847</v>
      </c>
      <c r="Q65" s="121">
        <f t="shared" si="43"/>
        <v>17754.505876244355</v>
      </c>
      <c r="R65" s="90">
        <f t="shared" si="59"/>
        <v>0.14006292489829467</v>
      </c>
      <c r="S65" s="28"/>
      <c r="T65" s="79">
        <f t="shared" si="44"/>
        <v>2.676534539453344</v>
      </c>
      <c r="U65" s="80">
        <f t="shared" si="45"/>
        <v>2.0850700938158866</v>
      </c>
      <c r="V65" s="80">
        <f t="shared" si="46"/>
        <v>1.560295929289457</v>
      </c>
      <c r="W65" s="80">
        <f t="shared" si="47"/>
        <v>1.1936730764251582</v>
      </c>
      <c r="X65" s="81">
        <f t="shared" si="48"/>
        <v>1.1482653767315927</v>
      </c>
      <c r="Y65" s="165">
        <f t="shared" si="49"/>
        <v>9658.421952795014</v>
      </c>
      <c r="Z65" s="165">
        <f t="shared" si="50"/>
        <v>8480.85057302138</v>
      </c>
      <c r="AA65" s="165">
        <f t="shared" si="51"/>
        <v>7246.5937275042525</v>
      </c>
      <c r="AB65" s="165">
        <f t="shared" si="52"/>
        <v>6237.828330206483</v>
      </c>
      <c r="AC65" s="165">
        <f t="shared" si="53"/>
        <v>6101.83400250857</v>
      </c>
      <c r="AD65" s="72">
        <f t="shared" si="54"/>
        <v>418.91081984169165</v>
      </c>
      <c r="AE65" s="73">
        <f t="shared" si="55"/>
        <v>268.6047915266254</v>
      </c>
      <c r="AF65" s="73">
        <f t="shared" si="56"/>
        <v>162.6694914258698</v>
      </c>
      <c r="AG65" s="73">
        <f t="shared" si="57"/>
        <v>103.95942607861211</v>
      </c>
      <c r="AH65" s="74">
        <f t="shared" si="58"/>
        <v>97.56383184143591</v>
      </c>
      <c r="AI65" s="28"/>
      <c r="BX65"/>
    </row>
    <row r="66" spans="1:76" ht="16.5">
      <c r="A66" s="18">
        <v>25</v>
      </c>
      <c r="B66" s="4">
        <v>-0.7435059454395301</v>
      </c>
      <c r="C66" s="11">
        <v>237.38808390302393</v>
      </c>
      <c r="D66" s="4">
        <v>-0.8189315282179058</v>
      </c>
      <c r="E66" s="4">
        <f t="shared" si="31"/>
        <v>1.1060967131373476</v>
      </c>
      <c r="F66" s="83">
        <f t="shared" si="32"/>
        <v>1.401849531820938</v>
      </c>
      <c r="G66" s="86">
        <f t="shared" si="33"/>
        <v>447.58535734720505</v>
      </c>
      <c r="H66" s="88">
        <f t="shared" si="34"/>
        <v>1.5440613306017548</v>
      </c>
      <c r="I66" s="88">
        <f t="shared" si="35"/>
        <v>2.0854993412912513</v>
      </c>
      <c r="J66" s="57">
        <f t="shared" si="36"/>
        <v>1.6058136432516492</v>
      </c>
      <c r="K66" s="11">
        <f t="shared" si="37"/>
        <v>116.27513381290215</v>
      </c>
      <c r="L66" s="11">
        <f t="shared" si="38"/>
        <v>6060.438590556683</v>
      </c>
      <c r="M66" s="15">
        <f t="shared" si="39"/>
        <v>34.10802789859073</v>
      </c>
      <c r="N66" s="11">
        <f t="shared" si="40"/>
        <v>3897.0709395812873</v>
      </c>
      <c r="O66" s="11">
        <f t="shared" si="41"/>
        <v>7667.266993958375</v>
      </c>
      <c r="P66" s="11">
        <f t="shared" si="42"/>
        <v>218.3438710543308</v>
      </c>
      <c r="Q66" s="121">
        <f t="shared" si="43"/>
        <v>17993.503556862168</v>
      </c>
      <c r="R66" s="90">
        <f t="shared" si="59"/>
        <v>0.14194834567117176</v>
      </c>
      <c r="S66" s="28"/>
      <c r="T66" s="79">
        <f t="shared" si="44"/>
        <v>2.696936471387443</v>
      </c>
      <c r="U66" s="80">
        <f t="shared" si="45"/>
        <v>2.1157183610200865</v>
      </c>
      <c r="V66" s="80">
        <f t="shared" si="46"/>
        <v>1.6058136432516492</v>
      </c>
      <c r="W66" s="80">
        <f t="shared" si="47"/>
        <v>1.2572136460389691</v>
      </c>
      <c r="X66" s="81">
        <f t="shared" si="48"/>
        <v>1.2174195119012619</v>
      </c>
      <c r="Y66" s="165">
        <f t="shared" si="49"/>
        <v>9695.689880138554</v>
      </c>
      <c r="Z66" s="165">
        <f t="shared" si="50"/>
        <v>8546.878577419522</v>
      </c>
      <c r="AA66" s="165">
        <f t="shared" si="51"/>
        <v>7362.331598541723</v>
      </c>
      <c r="AB66" s="165">
        <f t="shared" si="52"/>
        <v>6423.582522953325</v>
      </c>
      <c r="AC66" s="165">
        <f t="shared" si="53"/>
        <v>6307.852390738755</v>
      </c>
      <c r="AD66" s="72">
        <f t="shared" si="54"/>
        <v>424.6798703733685</v>
      </c>
      <c r="AE66" s="73">
        <f t="shared" si="55"/>
        <v>275.5886284864773</v>
      </c>
      <c r="AF66" s="73">
        <f t="shared" si="56"/>
        <v>170.83682170864589</v>
      </c>
      <c r="AG66" s="73">
        <f t="shared" si="57"/>
        <v>113.23308703614566</v>
      </c>
      <c r="AH66" s="74">
        <f t="shared" si="58"/>
        <v>107.38094766701666</v>
      </c>
      <c r="AI66" s="28"/>
      <c r="BX66"/>
    </row>
    <row r="67" spans="1:76" ht="16.5">
      <c r="A67" s="18">
        <v>26</v>
      </c>
      <c r="B67" s="4">
        <v>-0.7379026729240881</v>
      </c>
      <c r="C67" s="11">
        <v>236.44602626135057</v>
      </c>
      <c r="D67" s="4">
        <v>-0.8674766866019769</v>
      </c>
      <c r="E67" s="4">
        <f t="shared" si="31"/>
        <v>1.1388661714646098</v>
      </c>
      <c r="F67" s="83">
        <f t="shared" si="32"/>
        <v>1.391284794577588</v>
      </c>
      <c r="G67" s="86">
        <f t="shared" si="33"/>
        <v>445.809146851474</v>
      </c>
      <c r="H67" s="88">
        <f t="shared" si="34"/>
        <v>1.635591207357015</v>
      </c>
      <c r="I67" s="88">
        <f t="shared" si="35"/>
        <v>2.147284791825802</v>
      </c>
      <c r="J67" s="57">
        <f t="shared" si="36"/>
        <v>1.6533878224702343</v>
      </c>
      <c r="K67" s="11">
        <f t="shared" si="37"/>
        <v>114.5291726928014</v>
      </c>
      <c r="L67" s="11">
        <f t="shared" si="38"/>
        <v>5975.394173629463</v>
      </c>
      <c r="M67" s="15">
        <f t="shared" si="39"/>
        <v>38.27163804406526</v>
      </c>
      <c r="N67" s="11">
        <f t="shared" si="40"/>
        <v>4094.679520599866</v>
      </c>
      <c r="O67" s="11">
        <f t="shared" si="41"/>
        <v>7789.034027133949</v>
      </c>
      <c r="P67" s="11">
        <f t="shared" si="42"/>
        <v>226.72817102023237</v>
      </c>
      <c r="Q67" s="121">
        <f t="shared" si="43"/>
        <v>18238.636703120377</v>
      </c>
      <c r="R67" s="90">
        <f t="shared" si="59"/>
        <v>0.14388216831280243</v>
      </c>
      <c r="S67" s="28"/>
      <c r="T67" s="79">
        <f t="shared" si="44"/>
        <v>2.7168072350285666</v>
      </c>
      <c r="U67" s="80">
        <f t="shared" si="45"/>
        <v>2.1473568703375387</v>
      </c>
      <c r="V67" s="80">
        <f t="shared" si="46"/>
        <v>1.6533878224702343</v>
      </c>
      <c r="W67" s="80">
        <f t="shared" si="47"/>
        <v>1.3223807473737155</v>
      </c>
      <c r="X67" s="81">
        <f t="shared" si="48"/>
        <v>1.2869110991755566</v>
      </c>
      <c r="Y67" s="165">
        <f t="shared" si="49"/>
        <v>9731.789465190046</v>
      </c>
      <c r="Z67" s="165">
        <f t="shared" si="50"/>
        <v>8614.417143442603</v>
      </c>
      <c r="AA67" s="165">
        <f t="shared" si="51"/>
        <v>7481.347890950947</v>
      </c>
      <c r="AB67" s="165">
        <f t="shared" si="52"/>
        <v>6608.939012739861</v>
      </c>
      <c r="AC67" s="165">
        <f t="shared" si="53"/>
        <v>6508.67662334629</v>
      </c>
      <c r="AD67" s="72">
        <f t="shared" si="54"/>
        <v>430.3361863138175</v>
      </c>
      <c r="AE67" s="73">
        <f t="shared" si="55"/>
        <v>282.8903691784719</v>
      </c>
      <c r="AF67" s="73">
        <f t="shared" si="56"/>
        <v>179.5804809284793</v>
      </c>
      <c r="AG67" s="73">
        <f t="shared" si="57"/>
        <v>123.13680027323753</v>
      </c>
      <c r="AH67" s="74">
        <f t="shared" si="58"/>
        <v>117.6970184071555</v>
      </c>
      <c r="AI67" s="28"/>
      <c r="BX67"/>
    </row>
    <row r="68" spans="1:76" ht="16.5">
      <c r="A68" s="18">
        <v>27</v>
      </c>
      <c r="B68" s="4">
        <v>-0.7316515309435765</v>
      </c>
      <c r="C68" s="11">
        <v>235.02302523518713</v>
      </c>
      <c r="D68" s="4">
        <v>-0.9167679179694548</v>
      </c>
      <c r="E68" s="4">
        <f t="shared" si="31"/>
        <v>1.17293536827488</v>
      </c>
      <c r="F68" s="83">
        <f t="shared" si="32"/>
        <v>1.3794985264078745</v>
      </c>
      <c r="G68" s="86">
        <f t="shared" si="33"/>
        <v>443.1261376105343</v>
      </c>
      <c r="H68" s="88">
        <f t="shared" si="34"/>
        <v>1.7285277736873998</v>
      </c>
      <c r="I68" s="88">
        <f t="shared" si="35"/>
        <v>2.211520845203639</v>
      </c>
      <c r="J68" s="57">
        <f t="shared" si="36"/>
        <v>1.7028489413785264</v>
      </c>
      <c r="K68" s="11">
        <f t="shared" si="37"/>
        <v>112.5969244141826</v>
      </c>
      <c r="L68" s="11">
        <f t="shared" si="38"/>
        <v>5878.639832746761</v>
      </c>
      <c r="M68" s="15">
        <f t="shared" si="39"/>
        <v>42.744499912568216</v>
      </c>
      <c r="N68" s="11">
        <f t="shared" si="40"/>
        <v>4303.7420330146815</v>
      </c>
      <c r="O68" s="11">
        <f t="shared" si="41"/>
        <v>7910.398258762315</v>
      </c>
      <c r="P68" s="11">
        <f t="shared" si="42"/>
        <v>235.4833919024903</v>
      </c>
      <c r="Q68" s="121">
        <f t="shared" si="43"/>
        <v>18483.604940752997</v>
      </c>
      <c r="R68" s="90">
        <f t="shared" si="59"/>
        <v>0.14581469001231723</v>
      </c>
      <c r="S68" s="28"/>
      <c r="T68" s="79">
        <f t="shared" si="44"/>
        <v>2.7357439508353796</v>
      </c>
      <c r="U68" s="80">
        <f t="shared" si="45"/>
        <v>2.179707482207218</v>
      </c>
      <c r="V68" s="80">
        <f t="shared" si="46"/>
        <v>1.7028489413785264</v>
      </c>
      <c r="W68" s="80">
        <f t="shared" si="47"/>
        <v>1.3892459796680658</v>
      </c>
      <c r="X68" s="81">
        <f t="shared" si="48"/>
        <v>1.3572230224247883</v>
      </c>
      <c r="Y68" s="165">
        <f t="shared" si="49"/>
        <v>9766.011456266087</v>
      </c>
      <c r="Z68" s="165">
        <f t="shared" si="50"/>
        <v>8682.832172773617</v>
      </c>
      <c r="AA68" s="165">
        <f t="shared" si="51"/>
        <v>7603.048647690758</v>
      </c>
      <c r="AB68" s="165">
        <f t="shared" si="52"/>
        <v>6794.073337810072</v>
      </c>
      <c r="AC68" s="165">
        <f t="shared" si="53"/>
        <v>6706.025679271041</v>
      </c>
      <c r="AD68" s="72">
        <f t="shared" si="54"/>
        <v>435.76102448492054</v>
      </c>
      <c r="AE68" s="73">
        <f t="shared" si="55"/>
        <v>290.4533649203675</v>
      </c>
      <c r="AF68" s="73">
        <f t="shared" si="56"/>
        <v>188.89562883343172</v>
      </c>
      <c r="AG68" s="73">
        <f t="shared" si="57"/>
        <v>133.71188686975057</v>
      </c>
      <c r="AH68" s="74">
        <f t="shared" si="58"/>
        <v>128.59505440398098</v>
      </c>
      <c r="AI68" s="28"/>
      <c r="BX68"/>
    </row>
    <row r="69" spans="1:76" ht="16.5">
      <c r="A69" s="18">
        <v>28</v>
      </c>
      <c r="B69" s="4">
        <v>-0.725054795017682</v>
      </c>
      <c r="C69" s="11">
        <v>233.10995497958777</v>
      </c>
      <c r="D69" s="4">
        <v>-0.9671283960386144</v>
      </c>
      <c r="E69" s="4">
        <f t="shared" si="31"/>
        <v>1.208735616337318</v>
      </c>
      <c r="F69" s="83">
        <f t="shared" si="32"/>
        <v>1.3670606552301334</v>
      </c>
      <c r="G69" s="86">
        <f t="shared" si="33"/>
        <v>439.5191232233566</v>
      </c>
      <c r="H69" s="88">
        <f t="shared" si="34"/>
        <v>1.8234803601953606</v>
      </c>
      <c r="I69" s="88">
        <f t="shared" si="35"/>
        <v>2.279020723709296</v>
      </c>
      <c r="J69" s="57">
        <f t="shared" si="36"/>
        <v>1.7548231730055197</v>
      </c>
      <c r="K69" s="11">
        <f t="shared" si="37"/>
        <v>110.57567893306557</v>
      </c>
      <c r="L69" s="11">
        <f t="shared" si="38"/>
        <v>5774.54161908019</v>
      </c>
      <c r="M69" s="15">
        <f t="shared" si="39"/>
        <v>47.569621563636474</v>
      </c>
      <c r="N69" s="11">
        <f t="shared" si="40"/>
        <v>4527.31549088712</v>
      </c>
      <c r="O69" s="11">
        <f t="shared" si="41"/>
        <v>8032.721030726219</v>
      </c>
      <c r="P69" s="11">
        <f t="shared" si="42"/>
        <v>244.75728336505594</v>
      </c>
      <c r="Q69" s="121">
        <f t="shared" si="43"/>
        <v>18737.480724555287</v>
      </c>
      <c r="R69" s="90">
        <f t="shared" si="59"/>
        <v>0.14781748215353777</v>
      </c>
      <c r="S69" s="28"/>
      <c r="T69" s="79">
        <f t="shared" si="44"/>
        <v>2.754490866823224</v>
      </c>
      <c r="U69" s="80">
        <f t="shared" si="45"/>
        <v>2.213501797488017</v>
      </c>
      <c r="V69" s="80">
        <f t="shared" si="46"/>
        <v>1.7548231730055197</v>
      </c>
      <c r="W69" s="80">
        <f t="shared" si="47"/>
        <v>1.4583080670818447</v>
      </c>
      <c r="X69" s="81">
        <f t="shared" si="48"/>
        <v>1.4287632265281616</v>
      </c>
      <c r="Y69" s="165">
        <f t="shared" si="49"/>
        <v>9799.717839034229</v>
      </c>
      <c r="Z69" s="165">
        <f t="shared" si="50"/>
        <v>8753.616606274752</v>
      </c>
      <c r="AA69" s="165">
        <f t="shared" si="51"/>
        <v>7728.778756631938</v>
      </c>
      <c r="AB69" s="165">
        <f t="shared" si="52"/>
        <v>6980.272859163859</v>
      </c>
      <c r="AC69" s="165">
        <f t="shared" si="53"/>
        <v>6901.21909252632</v>
      </c>
      <c r="AD69" s="72">
        <f t="shared" si="54"/>
        <v>441.1645629639173</v>
      </c>
      <c r="AE69" s="73">
        <f t="shared" si="55"/>
        <v>298.4585196650984</v>
      </c>
      <c r="AF69" s="73">
        <f t="shared" si="56"/>
        <v>198.93088863016567</v>
      </c>
      <c r="AG69" s="73">
        <f t="shared" si="57"/>
        <v>145.07389107830707</v>
      </c>
      <c r="AH69" s="74">
        <f t="shared" si="58"/>
        <v>140.15855448779126</v>
      </c>
      <c r="AI69" s="28"/>
      <c r="BX69"/>
    </row>
    <row r="70" spans="1:76" ht="16.5">
      <c r="A70" s="18">
        <v>29</v>
      </c>
      <c r="B70" s="4">
        <v>-0.7179155992224899</v>
      </c>
      <c r="C70" s="11">
        <v>230.61392478009316</v>
      </c>
      <c r="D70" s="4">
        <v>-1.0189111298928748</v>
      </c>
      <c r="E70" s="4">
        <f t="shared" si="31"/>
        <v>1.246427975547148</v>
      </c>
      <c r="F70" s="83">
        <f t="shared" si="32"/>
        <v>1.353599998534037</v>
      </c>
      <c r="G70" s="86">
        <f t="shared" si="33"/>
        <v>434.812962111889</v>
      </c>
      <c r="H70" s="88">
        <f t="shared" si="34"/>
        <v>1.9211145508232377</v>
      </c>
      <c r="I70" s="88">
        <f t="shared" si="35"/>
        <v>2.3500880990754616</v>
      </c>
      <c r="J70" s="57">
        <f t="shared" si="36"/>
        <v>1.8095443415494596</v>
      </c>
      <c r="K70" s="11">
        <f t="shared" si="37"/>
        <v>108.40884978004276</v>
      </c>
      <c r="L70" s="11">
        <f t="shared" si="38"/>
        <v>5660.004087609198</v>
      </c>
      <c r="M70" s="15">
        <f t="shared" si="39"/>
        <v>52.800014170450815</v>
      </c>
      <c r="N70" s="11">
        <f t="shared" si="40"/>
        <v>4766.918305023107</v>
      </c>
      <c r="O70" s="11">
        <f t="shared" si="41"/>
        <v>8156.4701361073185</v>
      </c>
      <c r="P70" s="11">
        <f t="shared" si="42"/>
        <v>254.6045418165134</v>
      </c>
      <c r="Q70" s="121">
        <f t="shared" si="43"/>
        <v>18999.205934506626</v>
      </c>
      <c r="R70" s="90">
        <f t="shared" si="59"/>
        <v>0.14988219736898362</v>
      </c>
      <c r="S70" s="28"/>
      <c r="T70" s="79">
        <f t="shared" si="44"/>
        <v>2.7728343336241887</v>
      </c>
      <c r="U70" s="80">
        <f t="shared" si="45"/>
        <v>2.2487878928648106</v>
      </c>
      <c r="V70" s="80">
        <f t="shared" si="46"/>
        <v>1.8095443415494596</v>
      </c>
      <c r="W70" s="80">
        <f t="shared" si="47"/>
        <v>1.529974330680104</v>
      </c>
      <c r="X70" s="81">
        <f t="shared" si="48"/>
        <v>1.5020516544428326</v>
      </c>
      <c r="Y70" s="165">
        <f t="shared" si="49"/>
        <v>9832.533605123652</v>
      </c>
      <c r="Z70" s="165">
        <f t="shared" si="50"/>
        <v>8826.792312272211</v>
      </c>
      <c r="AA70" s="165">
        <f t="shared" si="51"/>
        <v>7858.856198329457</v>
      </c>
      <c r="AB70" s="165">
        <f t="shared" si="52"/>
        <v>7168.447515436896</v>
      </c>
      <c r="AC70" s="165">
        <f t="shared" si="53"/>
        <v>7095.721049374375</v>
      </c>
      <c r="AD70" s="72">
        <f t="shared" si="54"/>
        <v>446.48366424205017</v>
      </c>
      <c r="AE70" s="73">
        <f t="shared" si="55"/>
        <v>306.9311609188839</v>
      </c>
      <c r="AF70" s="73">
        <f t="shared" si="56"/>
        <v>209.76986095933108</v>
      </c>
      <c r="AG70" s="73">
        <f t="shared" si="57"/>
        <v>157.3364837463957</v>
      </c>
      <c r="AH70" s="74">
        <f t="shared" si="58"/>
        <v>152.5015392159062</v>
      </c>
      <c r="AI70" s="28"/>
      <c r="BX70"/>
    </row>
    <row r="71" spans="1:76" ht="16.5">
      <c r="A71" s="18">
        <v>30</v>
      </c>
      <c r="B71" s="4">
        <v>-0.7102502150156997</v>
      </c>
      <c r="C71" s="11">
        <v>227.50587821073148</v>
      </c>
      <c r="D71" s="4">
        <v>-1.072381236051545</v>
      </c>
      <c r="E71" s="4">
        <f t="shared" si="31"/>
        <v>1.2862569274314084</v>
      </c>
      <c r="F71" s="83">
        <f t="shared" si="32"/>
        <v>1.3391472354762188</v>
      </c>
      <c r="G71" s="86">
        <f t="shared" si="33"/>
        <v>428.95286959364876</v>
      </c>
      <c r="H71" s="88">
        <f t="shared" si="34"/>
        <v>2.021930211739891</v>
      </c>
      <c r="I71" s="88">
        <f t="shared" si="35"/>
        <v>2.4251839310514414</v>
      </c>
      <c r="J71" s="57">
        <f t="shared" si="36"/>
        <v>1.86736738140892</v>
      </c>
      <c r="K71" s="11">
        <f t="shared" si="37"/>
        <v>106.1061860655291</v>
      </c>
      <c r="L71" s="11">
        <f t="shared" si="38"/>
        <v>5535.398039506598</v>
      </c>
      <c r="M71" s="15">
        <f t="shared" si="39"/>
        <v>58.48706650905557</v>
      </c>
      <c r="N71" s="11">
        <f t="shared" si="40"/>
        <v>5024.693960173057</v>
      </c>
      <c r="O71" s="11">
        <f t="shared" si="41"/>
        <v>8282.378958587677</v>
      </c>
      <c r="P71" s="11">
        <f t="shared" si="42"/>
        <v>265.13793574540347</v>
      </c>
      <c r="Q71" s="121">
        <f t="shared" si="43"/>
        <v>19272.20214658732</v>
      </c>
      <c r="R71" s="90">
        <f t="shared" si="59"/>
        <v>0.15203582801444912</v>
      </c>
      <c r="S71" s="28"/>
      <c r="T71" s="79">
        <f t="shared" si="44"/>
        <v>2.791154508146163</v>
      </c>
      <c r="U71" s="80">
        <f t="shared" si="45"/>
        <v>2.285975366030584</v>
      </c>
      <c r="V71" s="80">
        <f t="shared" si="46"/>
        <v>1.86736738140892</v>
      </c>
      <c r="W71" s="80">
        <f t="shared" si="47"/>
        <v>1.6045797510559208</v>
      </c>
      <c r="X71" s="81">
        <f t="shared" si="48"/>
        <v>1.5775072409167208</v>
      </c>
      <c r="Y71" s="165">
        <f t="shared" si="49"/>
        <v>9865.145546484971</v>
      </c>
      <c r="Z71" s="165">
        <f t="shared" si="50"/>
        <v>8903.113796360578</v>
      </c>
      <c r="AA71" s="165">
        <f t="shared" si="51"/>
        <v>7993.840966213517</v>
      </c>
      <c r="AB71" s="165">
        <f t="shared" si="52"/>
        <v>7359.218562692497</v>
      </c>
      <c r="AC71" s="165">
        <f t="shared" si="53"/>
        <v>7290.575921186812</v>
      </c>
      <c r="AD71" s="72">
        <f t="shared" si="54"/>
        <v>451.82745638588625</v>
      </c>
      <c r="AE71" s="73">
        <f t="shared" si="55"/>
        <v>315.9865190807793</v>
      </c>
      <c r="AF71" s="73">
        <f t="shared" si="56"/>
        <v>221.52789718932377</v>
      </c>
      <c r="AG71" s="73">
        <f t="shared" si="57"/>
        <v>170.6128640301768</v>
      </c>
      <c r="AH71" s="74">
        <f t="shared" si="58"/>
        <v>165.73494204085114</v>
      </c>
      <c r="AI71" s="28"/>
      <c r="BX71"/>
    </row>
    <row r="72" spans="1:76" ht="16.5">
      <c r="A72" s="18">
        <v>31</v>
      </c>
      <c r="B72" s="4">
        <v>-0.7022009474414048</v>
      </c>
      <c r="C72" s="11">
        <v>223.56423801738163</v>
      </c>
      <c r="D72" s="4">
        <v>-1.1280864983109464</v>
      </c>
      <c r="E72" s="4">
        <f t="shared" si="31"/>
        <v>1.3287833977962924</v>
      </c>
      <c r="F72" s="83">
        <f t="shared" si="32"/>
        <v>1.3239706762977228</v>
      </c>
      <c r="G72" s="86">
        <f t="shared" si="33"/>
        <v>421.5210709731447</v>
      </c>
      <c r="H72" s="88">
        <f t="shared" si="34"/>
        <v>2.1269601665066156</v>
      </c>
      <c r="I72" s="88">
        <f t="shared" si="35"/>
        <v>2.505365821911463</v>
      </c>
      <c r="J72" s="57">
        <f t="shared" si="36"/>
        <v>1.9291066357617968</v>
      </c>
      <c r="K72" s="11">
        <f t="shared" si="37"/>
        <v>103.7148106430372</v>
      </c>
      <c r="L72" s="11">
        <f t="shared" si="38"/>
        <v>5401.532250465407</v>
      </c>
      <c r="M72" s="15">
        <f t="shared" si="39"/>
        <v>64.7211505801498</v>
      </c>
      <c r="N72" s="11">
        <f t="shared" si="40"/>
        <v>5305.014923354128</v>
      </c>
      <c r="O72" s="11">
        <f t="shared" si="41"/>
        <v>8411.599458687651</v>
      </c>
      <c r="P72" s="11">
        <f t="shared" si="42"/>
        <v>276.5068458358671</v>
      </c>
      <c r="Q72" s="121">
        <f t="shared" si="43"/>
        <v>19563.08943956624</v>
      </c>
      <c r="R72" s="90">
        <f t="shared" si="59"/>
        <v>0.15433059900691523</v>
      </c>
      <c r="S72" s="28"/>
      <c r="T72" s="79">
        <f t="shared" si="44"/>
        <v>2.8093981614015844</v>
      </c>
      <c r="U72" s="80">
        <f t="shared" si="45"/>
        <v>2.3255445189903603</v>
      </c>
      <c r="V72" s="80">
        <f t="shared" si="46"/>
        <v>1.9291066357617968</v>
      </c>
      <c r="W72" s="80">
        <f t="shared" si="47"/>
        <v>1.6830339676574793</v>
      </c>
      <c r="X72" s="81">
        <f t="shared" si="48"/>
        <v>1.6557808074295775</v>
      </c>
      <c r="Y72" s="165">
        <f t="shared" si="49"/>
        <v>9897.461162846455</v>
      </c>
      <c r="Z72" s="165">
        <f t="shared" si="50"/>
        <v>8983.440251854152</v>
      </c>
      <c r="AA72" s="165">
        <f t="shared" si="51"/>
        <v>8135.275247283186</v>
      </c>
      <c r="AB72" s="165">
        <f t="shared" si="52"/>
        <v>7554.537551286753</v>
      </c>
      <c r="AC72" s="165">
        <f t="shared" si="53"/>
        <v>7487.283080167709</v>
      </c>
      <c r="AD72" s="72">
        <f t="shared" si="54"/>
        <v>457.180156518962</v>
      </c>
      <c r="AE72" s="73">
        <f t="shared" si="55"/>
        <v>325.7640162787392</v>
      </c>
      <c r="AF72" s="73">
        <f t="shared" si="56"/>
        <v>234.42785135886933</v>
      </c>
      <c r="AG72" s="73">
        <f t="shared" si="57"/>
        <v>185.13631963102534</v>
      </c>
      <c r="AH72" s="74">
        <f t="shared" si="58"/>
        <v>180.02588539173965</v>
      </c>
      <c r="AI72" s="28"/>
      <c r="BX72"/>
    </row>
    <row r="73" spans="1:76" ht="16.5">
      <c r="A73" s="18">
        <v>32</v>
      </c>
      <c r="B73" s="4">
        <v>-0.6934456903989243</v>
      </c>
      <c r="C73" s="11">
        <v>218.6426703280376</v>
      </c>
      <c r="D73" s="4">
        <v>-1.1866289424589562</v>
      </c>
      <c r="E73" s="4">
        <f t="shared" si="31"/>
        <v>1.374392655908093</v>
      </c>
      <c r="F73" s="83">
        <f t="shared" si="32"/>
        <v>1.3074630033446604</v>
      </c>
      <c r="G73" s="86">
        <f t="shared" si="33"/>
        <v>412.24165982189504</v>
      </c>
      <c r="H73" s="88">
        <f t="shared" si="34"/>
        <v>2.2373395097034288</v>
      </c>
      <c r="I73" s="88">
        <f t="shared" si="35"/>
        <v>2.5913601808307196</v>
      </c>
      <c r="J73" s="57">
        <f t="shared" si="36"/>
        <v>1.9953214324107955</v>
      </c>
      <c r="K73" s="11">
        <f t="shared" si="37"/>
        <v>101.14463779567131</v>
      </c>
      <c r="L73" s="11">
        <f t="shared" si="38"/>
        <v>5253.70183125278</v>
      </c>
      <c r="M73" s="15">
        <f t="shared" si="39"/>
        <v>71.61290646341288</v>
      </c>
      <c r="N73" s="11">
        <f t="shared" si="40"/>
        <v>5611.353901102935</v>
      </c>
      <c r="O73" s="11">
        <f t="shared" si="41"/>
        <v>8545.087274044607</v>
      </c>
      <c r="P73" s="11">
        <f t="shared" si="42"/>
        <v>288.8668060137225</v>
      </c>
      <c r="Q73" s="121">
        <f t="shared" si="43"/>
        <v>19871.76735667313</v>
      </c>
      <c r="R73" s="90">
        <f t="shared" si="59"/>
        <v>0.1567657178563422</v>
      </c>
      <c r="S73" s="28"/>
      <c r="T73" s="79">
        <f t="shared" si="44"/>
        <v>2.8275405951525197</v>
      </c>
      <c r="U73" s="80">
        <f t="shared" si="45"/>
        <v>2.3678238033819325</v>
      </c>
      <c r="V73" s="80">
        <f t="shared" si="46"/>
        <v>1.9953214324107955</v>
      </c>
      <c r="W73" s="80">
        <f t="shared" si="47"/>
        <v>1.7661087117057184</v>
      </c>
      <c r="X73" s="81">
        <f t="shared" si="48"/>
        <v>1.7378396510141467</v>
      </c>
      <c r="Y73" s="165">
        <f t="shared" si="49"/>
        <v>9929.439939407293</v>
      </c>
      <c r="Z73" s="165">
        <f t="shared" si="50"/>
        <v>9068.280006925826</v>
      </c>
      <c r="AA73" s="165">
        <f t="shared" si="51"/>
        <v>8283.988795589825</v>
      </c>
      <c r="AB73" s="165">
        <f t="shared" si="52"/>
        <v>7755.795616123355</v>
      </c>
      <c r="AC73" s="165">
        <f t="shared" si="53"/>
        <v>7687.932012176741</v>
      </c>
      <c r="AD73" s="72">
        <f t="shared" si="54"/>
        <v>462.53406295321713</v>
      </c>
      <c r="AE73" s="73">
        <f t="shared" si="55"/>
        <v>336.37318761765545</v>
      </c>
      <c r="AF73" s="73">
        <f t="shared" si="56"/>
        <v>248.65957542174607</v>
      </c>
      <c r="AG73" s="73">
        <f t="shared" si="57"/>
        <v>201.1433390444557</v>
      </c>
      <c r="AH73" s="74">
        <f t="shared" si="58"/>
        <v>195.6238650315384</v>
      </c>
      <c r="AI73" s="28"/>
      <c r="BX73"/>
    </row>
    <row r="74" spans="1:76" ht="16.5">
      <c r="A74" s="18">
        <v>33</v>
      </c>
      <c r="B74" s="4">
        <v>-0.68417335829729</v>
      </c>
      <c r="C74" s="11">
        <v>212.54789818753315</v>
      </c>
      <c r="D74" s="4">
        <v>-1.2484668110260242</v>
      </c>
      <c r="E74" s="4">
        <f t="shared" si="31"/>
        <v>1.4236441136875755</v>
      </c>
      <c r="F74" s="83">
        <f t="shared" si="32"/>
        <v>1.2899804068768133</v>
      </c>
      <c r="G74" s="86">
        <f t="shared" si="33"/>
        <v>400.75022048085435</v>
      </c>
      <c r="H74" s="88">
        <f t="shared" si="34"/>
        <v>2.353932238559555</v>
      </c>
      <c r="I74" s="88">
        <f t="shared" si="35"/>
        <v>2.684221755715438</v>
      </c>
      <c r="J74" s="57">
        <f t="shared" si="36"/>
        <v>2.066823916698989</v>
      </c>
      <c r="K74" s="11">
        <f t="shared" si="37"/>
        <v>98.45783325283315</v>
      </c>
      <c r="L74" s="11">
        <f t="shared" si="38"/>
        <v>5093.904299371824</v>
      </c>
      <c r="M74" s="15">
        <f t="shared" si="39"/>
        <v>79.27119953042207</v>
      </c>
      <c r="N74" s="11">
        <f t="shared" si="40"/>
        <v>5948.60973995422</v>
      </c>
      <c r="O74" s="11">
        <f t="shared" si="41"/>
        <v>8683.983498556185</v>
      </c>
      <c r="P74" s="11">
        <f t="shared" si="42"/>
        <v>302.43991581455964</v>
      </c>
      <c r="Q74" s="121">
        <f t="shared" si="43"/>
        <v>20206.666486480044</v>
      </c>
      <c r="R74" s="90">
        <f t="shared" si="59"/>
        <v>0.15940769234966853</v>
      </c>
      <c r="S74" s="28"/>
      <c r="T74" s="79">
        <f t="shared" si="44"/>
        <v>2.8460260217128703</v>
      </c>
      <c r="U74" s="80">
        <f t="shared" si="45"/>
        <v>2.4135515648696604</v>
      </c>
      <c r="V74" s="80">
        <f t="shared" si="46"/>
        <v>2.066823916698989</v>
      </c>
      <c r="W74" s="80">
        <f t="shared" si="47"/>
        <v>1.8545764894792756</v>
      </c>
      <c r="X74" s="81">
        <f t="shared" si="48"/>
        <v>1.824365564889822</v>
      </c>
      <c r="Y74" s="165">
        <f t="shared" si="49"/>
        <v>9961.862610286862</v>
      </c>
      <c r="Z74" s="165">
        <f t="shared" si="50"/>
        <v>9158.91135483853</v>
      </c>
      <c r="AA74" s="165">
        <f t="shared" si="51"/>
        <v>8441.255414334262</v>
      </c>
      <c r="AB74" s="165">
        <f t="shared" si="52"/>
        <v>7964.194793441003</v>
      </c>
      <c r="AC74" s="165">
        <f t="shared" si="53"/>
        <v>7893.693319880259</v>
      </c>
      <c r="AD74" s="72">
        <f t="shared" si="54"/>
        <v>468.0208856314439</v>
      </c>
      <c r="AE74" s="73">
        <f t="shared" si="55"/>
        <v>348.0360889727462</v>
      </c>
      <c r="AF74" s="73">
        <f t="shared" si="56"/>
        <v>264.48879092873716</v>
      </c>
      <c r="AG74" s="73">
        <f t="shared" si="57"/>
        <v>218.89996543976537</v>
      </c>
      <c r="AH74" s="74">
        <f t="shared" si="58"/>
        <v>212.7538481001054</v>
      </c>
      <c r="AI74" s="28"/>
      <c r="BX74"/>
    </row>
    <row r="75" spans="1:76" ht="16.5">
      <c r="A75" s="18">
        <v>34</v>
      </c>
      <c r="B75" s="4">
        <v>-0.6739838818223287</v>
      </c>
      <c r="C75" s="11">
        <v>204.83970364331694</v>
      </c>
      <c r="D75" s="4">
        <v>-1.3146950729765248</v>
      </c>
      <c r="E75" s="4">
        <f t="shared" si="31"/>
        <v>1.4773887125144298</v>
      </c>
      <c r="F75" s="83">
        <f t="shared" si="32"/>
        <v>1.2707685728443623</v>
      </c>
      <c r="G75" s="86">
        <f t="shared" si="33"/>
        <v>386.2167403126409</v>
      </c>
      <c r="H75" s="88">
        <f t="shared" si="34"/>
        <v>2.4788028715088846</v>
      </c>
      <c r="I75" s="88">
        <f t="shared" si="35"/>
        <v>2.7855549611396273</v>
      </c>
      <c r="J75" s="57">
        <f t="shared" si="36"/>
        <v>2.1448494718084117</v>
      </c>
      <c r="K75" s="11">
        <f t="shared" si="37"/>
        <v>95.54698288801856</v>
      </c>
      <c r="L75" s="11">
        <f t="shared" si="38"/>
        <v>4915.2657716598005</v>
      </c>
      <c r="M75" s="15">
        <f t="shared" si="39"/>
        <v>87.90457881172557</v>
      </c>
      <c r="N75" s="11">
        <f t="shared" si="40"/>
        <v>6324.074635810149</v>
      </c>
      <c r="O75" s="11">
        <f t="shared" si="41"/>
        <v>8829.9514397706</v>
      </c>
      <c r="P75" s="11">
        <f t="shared" si="42"/>
        <v>317.5067221118446</v>
      </c>
      <c r="Q75" s="121">
        <f t="shared" si="43"/>
        <v>20570.25013105214</v>
      </c>
      <c r="R75" s="90">
        <f t="shared" si="59"/>
        <v>0.16227595514779503</v>
      </c>
      <c r="S75" s="28"/>
      <c r="T75" s="79">
        <f t="shared" si="44"/>
        <v>2.8644371928328143</v>
      </c>
      <c r="U75" s="80">
        <f t="shared" si="45"/>
        <v>2.4632879692070353</v>
      </c>
      <c r="V75" s="80">
        <f t="shared" si="46"/>
        <v>2.1448494718084117</v>
      </c>
      <c r="W75" s="80">
        <f t="shared" si="47"/>
        <v>1.9500705997768486</v>
      </c>
      <c r="X75" s="81">
        <f t="shared" si="48"/>
        <v>1.9170226606463918</v>
      </c>
      <c r="Y75" s="165">
        <f t="shared" si="49"/>
        <v>9993.994727315441</v>
      </c>
      <c r="Z75" s="165">
        <f t="shared" si="50"/>
        <v>9256.18203320415</v>
      </c>
      <c r="AA75" s="165">
        <f t="shared" si="51"/>
        <v>8609.0874585948</v>
      </c>
      <c r="AB75" s="165">
        <f t="shared" si="52"/>
        <v>8182.686149760353</v>
      </c>
      <c r="AC75" s="165">
        <f t="shared" si="53"/>
        <v>8107.806829978256</v>
      </c>
      <c r="AD75" s="72">
        <f t="shared" si="54"/>
        <v>473.51746986106843</v>
      </c>
      <c r="AE75" s="73">
        <f t="shared" si="55"/>
        <v>360.9436781256938</v>
      </c>
      <c r="AF75" s="73">
        <f t="shared" si="56"/>
        <v>282.30827592720595</v>
      </c>
      <c r="AG75" s="73">
        <f t="shared" si="57"/>
        <v>238.88928188908895</v>
      </c>
      <c r="AH75" s="74">
        <f t="shared" si="58"/>
        <v>231.87490475616582</v>
      </c>
      <c r="AI75" s="28"/>
      <c r="BX75"/>
    </row>
    <row r="76" spans="1:76" ht="16.5">
      <c r="A76" s="18">
        <v>35</v>
      </c>
      <c r="B76" s="4">
        <v>-0.6632441842624921</v>
      </c>
      <c r="C76" s="11">
        <v>195.01696203664585</v>
      </c>
      <c r="D76" s="4">
        <v>-1.3862719757944502</v>
      </c>
      <c r="E76" s="4">
        <f t="shared" si="31"/>
        <v>1.536763755048598</v>
      </c>
      <c r="F76" s="83">
        <f t="shared" si="32"/>
        <v>1.2505193198444347</v>
      </c>
      <c r="G76" s="86">
        <f t="shared" si="33"/>
        <v>367.696369618941</v>
      </c>
      <c r="H76" s="88">
        <f t="shared" si="34"/>
        <v>2.6137581443213764</v>
      </c>
      <c r="I76" s="88">
        <f t="shared" si="35"/>
        <v>2.8975041339591754</v>
      </c>
      <c r="J76" s="57">
        <f t="shared" si="36"/>
        <v>2.231049215680333</v>
      </c>
      <c r="K76" s="11">
        <f t="shared" si="37"/>
        <v>92.52622797111351</v>
      </c>
      <c r="L76" s="11">
        <f t="shared" si="38"/>
        <v>4721.106729910133</v>
      </c>
      <c r="M76" s="15">
        <f t="shared" si="39"/>
        <v>97.73684470964413</v>
      </c>
      <c r="N76" s="11">
        <f t="shared" si="40"/>
        <v>6747.64643498214</v>
      </c>
      <c r="O76" s="11">
        <f t="shared" si="41"/>
        <v>8985.215446653996</v>
      </c>
      <c r="P76" s="11">
        <f t="shared" si="42"/>
        <v>334.50712217171565</v>
      </c>
      <c r="Q76" s="121">
        <f t="shared" si="43"/>
        <v>20978.738806398742</v>
      </c>
      <c r="R76" s="90">
        <f t="shared" si="59"/>
        <v>0.16549846773449717</v>
      </c>
      <c r="S76" s="28"/>
      <c r="T76" s="79">
        <f t="shared" si="44"/>
        <v>2.8833710484359867</v>
      </c>
      <c r="U76" s="80">
        <f t="shared" si="45"/>
        <v>2.5183628815889567</v>
      </c>
      <c r="V76" s="80">
        <f t="shared" si="46"/>
        <v>2.231049215680333</v>
      </c>
      <c r="W76" s="80">
        <f t="shared" si="47"/>
        <v>2.0542919951231937</v>
      </c>
      <c r="X76" s="81">
        <f t="shared" si="48"/>
        <v>2.0173637745045476</v>
      </c>
      <c r="Y76" s="165">
        <f t="shared" si="49"/>
        <v>10026.87312307141</v>
      </c>
      <c r="Z76" s="165">
        <f t="shared" si="50"/>
        <v>9362.33794665416</v>
      </c>
      <c r="AA76" s="165">
        <f t="shared" si="51"/>
        <v>8790.099020820606</v>
      </c>
      <c r="AB76" s="165">
        <f t="shared" si="52"/>
        <v>8413.935486669332</v>
      </c>
      <c r="AC76" s="165">
        <f t="shared" si="53"/>
        <v>8332.831656054472</v>
      </c>
      <c r="AD76" s="72">
        <f t="shared" si="54"/>
        <v>479.20320182063466</v>
      </c>
      <c r="AE76" s="73">
        <f t="shared" si="55"/>
        <v>375.5069557283676</v>
      </c>
      <c r="AF76" s="73">
        <f t="shared" si="56"/>
        <v>302.65730638060285</v>
      </c>
      <c r="AG76" s="73">
        <f t="shared" si="57"/>
        <v>261.67987785627673</v>
      </c>
      <c r="AH76" s="74">
        <f t="shared" si="58"/>
        <v>253.48826907269662</v>
      </c>
      <c r="AI76" s="28"/>
      <c r="BX76"/>
    </row>
    <row r="77" spans="1:76" ht="16.5">
      <c r="A77" s="15">
        <f>J25</f>
        <v>36.23820889210402</v>
      </c>
      <c r="B77" s="4">
        <v>-0.6526372462371004</v>
      </c>
      <c r="C77" s="11">
        <v>181.6577317804412</v>
      </c>
      <c r="D77" s="4">
        <v>-1.463643292735403</v>
      </c>
      <c r="E77" s="4">
        <f t="shared" si="31"/>
        <v>1.6025564150897398</v>
      </c>
      <c r="F77" s="83">
        <f t="shared" si="32"/>
        <v>1.2305203794241817</v>
      </c>
      <c r="G77" s="86">
        <f t="shared" si="33"/>
        <v>342.5080966871387</v>
      </c>
      <c r="H77" s="88">
        <f t="shared" si="34"/>
        <v>2.759638543927227</v>
      </c>
      <c r="I77" s="88">
        <f t="shared" si="35"/>
        <v>3.0215534576285448</v>
      </c>
      <c r="J77" s="57">
        <f t="shared" si="36"/>
        <v>2.3265659547367346</v>
      </c>
      <c r="K77" s="11">
        <f t="shared" si="37"/>
        <v>89.59043959780962</v>
      </c>
      <c r="L77" s="11">
        <f t="shared" si="38"/>
        <v>4514.305370607905</v>
      </c>
      <c r="M77" s="15">
        <f t="shared" si="39"/>
        <v>108.95117553767064</v>
      </c>
      <c r="N77" s="11">
        <f t="shared" si="40"/>
        <v>7227.427671942649</v>
      </c>
      <c r="O77" s="11">
        <f t="shared" si="41"/>
        <v>9149.51776834836</v>
      </c>
      <c r="P77" s="11">
        <f t="shared" si="42"/>
        <v>353.5989683182592</v>
      </c>
      <c r="Q77" s="121">
        <f t="shared" si="43"/>
        <v>21443.391394352653</v>
      </c>
      <c r="R77" s="90">
        <f>Q77*J$29*(A77-A76)</f>
        <v>0.20946043084071342</v>
      </c>
      <c r="S77" s="28"/>
      <c r="T77" s="79">
        <f t="shared" si="44"/>
        <v>2.900262630268822</v>
      </c>
      <c r="U77" s="80">
        <f t="shared" si="45"/>
        <v>2.5785320040953295</v>
      </c>
      <c r="V77" s="80">
        <f t="shared" si="46"/>
        <v>2.3265659547367346</v>
      </c>
      <c r="W77" s="80">
        <f t="shared" si="47"/>
        <v>2.1688173877305474</v>
      </c>
      <c r="X77" s="81">
        <f t="shared" si="48"/>
        <v>2.1263599071866426</v>
      </c>
      <c r="Y77" s="165">
        <f t="shared" si="49"/>
        <v>10056.063882188315</v>
      </c>
      <c r="Z77" s="165">
        <f t="shared" si="50"/>
        <v>9476.484105480666</v>
      </c>
      <c r="AA77" s="165">
        <f t="shared" si="51"/>
        <v>8985.501880594464</v>
      </c>
      <c r="AB77" s="165">
        <f t="shared" si="52"/>
        <v>8659.873832539559</v>
      </c>
      <c r="AC77" s="165">
        <f t="shared" si="53"/>
        <v>8569.665140938801</v>
      </c>
      <c r="AD77" s="72">
        <f t="shared" si="54"/>
        <v>484.3039803747115</v>
      </c>
      <c r="AE77" s="73">
        <f t="shared" si="55"/>
        <v>391.74190082328806</v>
      </c>
      <c r="AF77" s="73">
        <f t="shared" si="56"/>
        <v>326.01835299318543</v>
      </c>
      <c r="AG77" s="73">
        <f t="shared" si="57"/>
        <v>287.89651414512707</v>
      </c>
      <c r="AH77" s="74">
        <f t="shared" si="58"/>
        <v>278.03409325498416</v>
      </c>
      <c r="AI77" s="28"/>
      <c r="BX77"/>
    </row>
    <row r="78" spans="2:76" ht="6.75" customHeight="1">
      <c r="B78" s="4"/>
      <c r="D78" s="4"/>
      <c r="E78" s="4"/>
      <c r="F78" s="83"/>
      <c r="G78" s="86"/>
      <c r="H78" s="88"/>
      <c r="I78" s="88"/>
      <c r="J78" s="57"/>
      <c r="L78" s="11"/>
      <c r="M78" s="15"/>
      <c r="N78" s="11"/>
      <c r="O78" s="11"/>
      <c r="P78" s="11"/>
      <c r="Q78" s="121"/>
      <c r="R78" s="90"/>
      <c r="S78" s="28"/>
      <c r="T78" s="79"/>
      <c r="U78" s="80"/>
      <c r="V78" s="80"/>
      <c r="W78" s="80"/>
      <c r="X78" s="81"/>
      <c r="Y78" s="165"/>
      <c r="Z78" s="165"/>
      <c r="AA78" s="165"/>
      <c r="AB78" s="165"/>
      <c r="AC78" s="165"/>
      <c r="AD78" s="64"/>
      <c r="AE78" s="65"/>
      <c r="AF78" s="65"/>
      <c r="AG78" s="65"/>
      <c r="AH78" s="66"/>
      <c r="AI78" s="28"/>
      <c r="BX78"/>
    </row>
    <row r="79" spans="1:76" ht="16.5">
      <c r="A79" s="15">
        <f>I26</f>
        <v>41.284249216564326</v>
      </c>
      <c r="B79" s="4">
        <v>-0.6091989960299014</v>
      </c>
      <c r="C79" s="11">
        <v>165.1876539783805</v>
      </c>
      <c r="D79" s="4">
        <v>-0.9962057691997916</v>
      </c>
      <c r="E79" s="4">
        <f aca="true" t="shared" si="60" ref="E79:E93">SQRT(B79^2+D79^2)</f>
        <v>1.1677111592130942</v>
      </c>
      <c r="F79" s="83">
        <f aca="true" t="shared" si="61" ref="F79:F93">-B79*$E$29*(1-$E$33)/$E$30/$E$34</f>
        <v>1.1486193655996253</v>
      </c>
      <c r="G79" s="86">
        <f aca="true" t="shared" si="62" ref="G79:G93">C79*$E$29*(1-$E$33)/$E$30/$E$34</f>
        <v>311.4544501124308</v>
      </c>
      <c r="H79" s="88">
        <f aca="true" t="shared" si="63" ref="H79:H93">-D79*$E$29*(1-$E$33)/$E$30/$E$34</f>
        <v>1.8783045377323433</v>
      </c>
      <c r="I79" s="88">
        <f aca="true" t="shared" si="64" ref="I79:I93">E79*$E$29*(1-$E$33)/$E$30/$E$34</f>
        <v>2.2016708163339036</v>
      </c>
      <c r="J79" s="57">
        <f aca="true" t="shared" si="65" ref="J79:J93">E79*E$29/E$30</f>
        <v>1.6952645176233745</v>
      </c>
      <c r="K79" s="11">
        <f aca="true" t="shared" si="66" ref="K79:K93">L$33*E$14/120*F79^2/E$8*E$7*E$10*(E$10-1)*E$5/E$6</f>
        <v>78.06139614296876</v>
      </c>
      <c r="L79" s="11">
        <f aca="true" t="shared" si="67" ref="L79:L93">L$34*E$14/6*F79^2/E$9*E$7*E$5/E$6*(1+(G79*E$5/F79)^2/15)</f>
        <v>3911.53145259586</v>
      </c>
      <c r="M79" s="15">
        <f aca="true" t="shared" si="68" ref="M79:M93">L$35*E$14/8*H79^2/E$9*E$7*E$6/E$5</f>
        <v>50.473047959002514</v>
      </c>
      <c r="N79" s="11">
        <f aca="true" t="shared" si="69" ref="N79:N93">E$14*E$15*(E$12/E$11)^2*J79*(1-E$33)/E$34^2*(E$20/2/PI())^2/E$19*LN((E$18+E$19*J79)/(E$18+E$19*E$33*J79))</f>
        <v>4271.447911261406</v>
      </c>
      <c r="O79" s="11">
        <f aca="true" t="shared" si="70" ref="O79:O93">(Y79+Z79+AA79+AB79+AC79)/5</f>
        <v>7773.12601753614</v>
      </c>
      <c r="P79" s="11">
        <f aca="true" t="shared" si="71" ref="P79:P93">(AD79+AE79+AF79+AG79+AH79)/5</f>
        <v>210.80054572534428</v>
      </c>
      <c r="Q79" s="121">
        <f aca="true" t="shared" si="72" ref="Q79:Q93">SUM(K79:P79)</f>
        <v>16295.440371220722</v>
      </c>
      <c r="R79" s="90">
        <f>Q79*J$29*(A80-A79)</f>
        <v>0.09201158984732041</v>
      </c>
      <c r="S79" s="28"/>
      <c r="T79" s="79">
        <f aca="true" t="shared" si="73" ref="T79:T93">SQRT(($B79-$C79*0.8*$E$5)^2+$D79^2)*$E$29/$E$30</f>
        <v>2.3229470266171015</v>
      </c>
      <c r="U79" s="80">
        <f aca="true" t="shared" si="74" ref="U79:U93">SQRT(($B79-$C79*0.4*$E$5)^2+$D79^2)*$E$29/$E$30</f>
        <v>1.9791939851333549</v>
      </c>
      <c r="V79" s="80">
        <f aca="true" t="shared" si="75" ref="V79:V93">SQRT(($B79)^2+$D79^2)*$E$29/$E$30</f>
        <v>1.6952645176233745</v>
      </c>
      <c r="W79" s="80">
        <f aca="true" t="shared" si="76" ref="W79:W93">SQRT(($B79+$C79*0.4*$E$5)^2+$D79^2)*$E$29/$E$30</f>
        <v>1.5053975389389729</v>
      </c>
      <c r="X79" s="81">
        <f aca="true" t="shared" si="77" ref="X79:X93">SQRT(($B79+$C79*0.8*$E$5)^2+$D79^2)*$E$29/$E$30</f>
        <v>1.447103564842601</v>
      </c>
      <c r="Y79" s="165">
        <f aca="true" t="shared" si="78" ref="Y79:Y93">$L$36*$E$14*$E$15*$E$17/$E$34*2/3*$E$21/PI()*($E$22*$E$23*LN((T79+$E$23)/($E$33*T79+$E$23))+$E$24*T79*(1-$E$33)+$E$25*T79^2/2*(1-$E$33^2))</f>
        <v>8978.194881527332</v>
      </c>
      <c r="Z79" s="165">
        <f aca="true" t="shared" si="79" ref="Z79:Z93">$L$36*$E$14*$E$15*$E$17/$E$34*2/3*$E$21/PI()*($E$22*$E$23*LN((U79+$E$23)/($E$33*U79+$E$23))+$E$24*U79*(1-$E$33)+$E$25*U79^2/2*(1-$E$33^2))</f>
        <v>8248.044917394971</v>
      </c>
      <c r="AA79" s="165">
        <f aca="true" t="shared" si="80" ref="AA79:AA93">$L$36*$E$14*$E$15*$E$17/$E$34*2/3*$E$21/PI()*($E$22*$E$23*LN((V79+$E$23)/($E$33*V79+$E$23))+$E$24*V79*(1-$E$33)+$E$25*V79^2/2*(1-$E$33^2))</f>
        <v>7584.518607833215</v>
      </c>
      <c r="AB79" s="165">
        <f aca="true" t="shared" si="81" ref="AB79:AB93">$L$36*$E$14*$E$15*$E$17/$E$34*2/3*$E$21/PI()*($E$22*$E$23*LN((W79+$E$23)/($E$33*W79+$E$23))+$E$24*W79*(1-$E$33)+$E$25*W79^2/2*(1-$E$33^2))</f>
        <v>7104.474816432496</v>
      </c>
      <c r="AC79" s="165">
        <f aca="true" t="shared" si="82" ref="AC79:AC93">$L$36*$E$14*$E$15*$E$17/$E$34*2/3*$E$21/PI()*($E$22*$E$23*LN((X79+$E$23)/($E$33*X79+$E$23))+$E$24*X79*(1-$E$33)+$E$25*X79^2/2*(1-$E$33^2))</f>
        <v>6950.396864492686</v>
      </c>
      <c r="AD79" s="72">
        <f aca="true" t="shared" si="83" ref="AD79:AD93">1/9/PI()*$E$21/$E$34*$E$28^2*T79*(3*T79+4*$E$27)/($E$26*$E$27*$E$14*$E$15*$E$17*16*$E$5^2*$E$6^2)</f>
        <v>325.117682746269</v>
      </c>
      <c r="AE79" s="73">
        <f aca="true" t="shared" si="84" ref="AE79:AE93">1/9/PI()*$E$21/$E$34*$E$28^2*U79*(3*U79+4*$E$27)/($E$26*$E$27*$E$14*$E$15*$E$17*16*$E$5^2*$E$6^2)</f>
        <v>245.15544349375855</v>
      </c>
      <c r="AF79" s="73">
        <f aca="true" t="shared" si="85" ref="AF79:AF93">1/9/PI()*$E$21/$E$34*$E$28^2*V79*(3*V79+4*$E$27)/($E$26*$E$27*$E$14*$E$15*$E$17*16*$E$5^2*$E$6^2)</f>
        <v>187.45236456734315</v>
      </c>
      <c r="AG79" s="73">
        <f aca="true" t="shared" si="86" ref="AG79:AG93">1/9/PI()*$E$21/$E$34*$E$28^2*W79*(3*W79+4*$E$27)/($E$26*$E$27*$E$14*$E$15*$E$17*16*$E$5^2*$E$6^2)</f>
        <v>153.07704541041662</v>
      </c>
      <c r="AH79" s="74">
        <f aca="true" t="shared" si="87" ref="AH79:AH93">1/9/PI()*$E$21/$E$34*$E$28^2*X79*(3*X79+4*$E$27)/($E$26*$E$27*$E$14*$E$15*$E$17*16*$E$5^2*$E$6^2)</f>
        <v>143.2001924089341</v>
      </c>
      <c r="AI79" s="28"/>
      <c r="BX79"/>
    </row>
    <row r="80" spans="1:76" ht="16.5">
      <c r="A80" s="18">
        <v>42</v>
      </c>
      <c r="B80" s="4">
        <v>-0.6036062565672307</v>
      </c>
      <c r="C80" s="11">
        <v>178.0405812419791</v>
      </c>
      <c r="D80" s="4">
        <v>-1.0020586485015945</v>
      </c>
      <c r="E80" s="4">
        <f t="shared" si="60"/>
        <v>1.1698128260554967</v>
      </c>
      <c r="F80" s="83">
        <f t="shared" si="61"/>
        <v>1.138074487989122</v>
      </c>
      <c r="G80" s="86">
        <f t="shared" si="62"/>
        <v>335.6881098128288</v>
      </c>
      <c r="H80" s="88">
        <f t="shared" si="63"/>
        <v>1.8893398981882525</v>
      </c>
      <c r="I80" s="88">
        <f t="shared" si="64"/>
        <v>2.2056334217402718</v>
      </c>
      <c r="J80" s="57">
        <f t="shared" si="65"/>
        <v>1.6983156841705809</v>
      </c>
      <c r="K80" s="11">
        <f t="shared" si="66"/>
        <v>76.63469301306775</v>
      </c>
      <c r="L80" s="11">
        <f t="shared" si="67"/>
        <v>3913.211565216448</v>
      </c>
      <c r="M80" s="15">
        <f t="shared" si="68"/>
        <v>51.06786575027931</v>
      </c>
      <c r="N80" s="11">
        <f t="shared" si="69"/>
        <v>4284.429413415964</v>
      </c>
      <c r="O80" s="11">
        <f t="shared" si="70"/>
        <v>7813.758456618695</v>
      </c>
      <c r="P80" s="11">
        <f t="shared" si="71"/>
        <v>215.17201743807067</v>
      </c>
      <c r="Q80" s="121">
        <f t="shared" si="72"/>
        <v>16354.274011452524</v>
      </c>
      <c r="R80" s="90">
        <f aca="true" t="shared" si="88" ref="R80:R92">Q80*J$29</f>
        <v>0.1290166827845703</v>
      </c>
      <c r="S80" s="28"/>
      <c r="T80" s="79">
        <f t="shared" si="73"/>
        <v>2.3789501891376124</v>
      </c>
      <c r="U80" s="80">
        <f t="shared" si="74"/>
        <v>2.0047034355543487</v>
      </c>
      <c r="V80" s="80">
        <f t="shared" si="75"/>
        <v>1.6983156841705809</v>
      </c>
      <c r="W80" s="80">
        <f t="shared" si="76"/>
        <v>1.5019070870486686</v>
      </c>
      <c r="X80" s="81">
        <f t="shared" si="77"/>
        <v>1.4605417041649638</v>
      </c>
      <c r="Y80" s="165">
        <f t="shared" si="78"/>
        <v>9090.439358299423</v>
      </c>
      <c r="Z80" s="165">
        <f t="shared" si="79"/>
        <v>8304.817917864078</v>
      </c>
      <c r="AA80" s="165">
        <f t="shared" si="80"/>
        <v>7591.97879861277</v>
      </c>
      <c r="AB80" s="165">
        <f t="shared" si="81"/>
        <v>7095.34257828694</v>
      </c>
      <c r="AC80" s="165">
        <f t="shared" si="82"/>
        <v>6986.213630030266</v>
      </c>
      <c r="AD80" s="72">
        <f t="shared" si="83"/>
        <v>339.1929577382089</v>
      </c>
      <c r="AE80" s="73">
        <f t="shared" si="84"/>
        <v>250.7092781543863</v>
      </c>
      <c r="AF80" s="73">
        <f t="shared" si="85"/>
        <v>188.0323332793048</v>
      </c>
      <c r="AG80" s="73">
        <f t="shared" si="86"/>
        <v>152.4766966397339</v>
      </c>
      <c r="AH80" s="74">
        <f t="shared" si="87"/>
        <v>145.44882137871954</v>
      </c>
      <c r="AI80" s="28"/>
      <c r="BX80"/>
    </row>
    <row r="81" spans="1:76" ht="16.5">
      <c r="A81" s="18">
        <v>43</v>
      </c>
      <c r="B81" s="4">
        <v>-0.5973385358568848</v>
      </c>
      <c r="C81" s="11">
        <v>186.95603637908826</v>
      </c>
      <c r="D81" s="4">
        <v>-1.0854266139488287</v>
      </c>
      <c r="E81" s="4">
        <f t="shared" si="60"/>
        <v>1.2389367460399527</v>
      </c>
      <c r="F81" s="83">
        <f t="shared" si="61"/>
        <v>1.126256961313947</v>
      </c>
      <c r="G81" s="86">
        <f t="shared" si="62"/>
        <v>352.4978296094052</v>
      </c>
      <c r="H81" s="88">
        <f t="shared" si="63"/>
        <v>2.0465267291045555</v>
      </c>
      <c r="I81" s="88">
        <f t="shared" si="64"/>
        <v>2.3359636974592557</v>
      </c>
      <c r="J81" s="57">
        <f t="shared" si="65"/>
        <v>1.7986686935120808</v>
      </c>
      <c r="K81" s="11">
        <f t="shared" si="66"/>
        <v>75.05143885991605</v>
      </c>
      <c r="L81" s="11">
        <f t="shared" si="67"/>
        <v>3890.61585351947</v>
      </c>
      <c r="M81" s="15">
        <f t="shared" si="68"/>
        <v>59.91869673682306</v>
      </c>
      <c r="N81" s="11">
        <f t="shared" si="69"/>
        <v>4718.958497686233</v>
      </c>
      <c r="O81" s="11">
        <f t="shared" si="70"/>
        <v>8070.121164397584</v>
      </c>
      <c r="P81" s="11">
        <f t="shared" si="71"/>
        <v>237.4327133399595</v>
      </c>
      <c r="Q81" s="121">
        <f t="shared" si="72"/>
        <v>17052.098364539987</v>
      </c>
      <c r="R81" s="90">
        <f t="shared" si="88"/>
        <v>0.1345217258784176</v>
      </c>
      <c r="S81" s="28"/>
      <c r="T81" s="79">
        <f t="shared" si="73"/>
        <v>2.486622783858988</v>
      </c>
      <c r="U81" s="80">
        <f t="shared" si="74"/>
        <v>2.1048215484872967</v>
      </c>
      <c r="V81" s="80">
        <f t="shared" si="75"/>
        <v>1.7986686935120808</v>
      </c>
      <c r="W81" s="80">
        <f t="shared" si="76"/>
        <v>1.6118619119945135</v>
      </c>
      <c r="X81" s="81">
        <f t="shared" si="77"/>
        <v>1.5871178324027864</v>
      </c>
      <c r="Y81" s="165">
        <f t="shared" si="78"/>
        <v>9301.357117795615</v>
      </c>
      <c r="Z81" s="165">
        <f t="shared" si="79"/>
        <v>8523.471230876396</v>
      </c>
      <c r="AA81" s="165">
        <f t="shared" si="80"/>
        <v>7833.187248096661</v>
      </c>
      <c r="AB81" s="165">
        <f t="shared" si="81"/>
        <v>7377.571637808743</v>
      </c>
      <c r="AC81" s="165">
        <f t="shared" si="82"/>
        <v>7315.018587410504</v>
      </c>
      <c r="AD81" s="72">
        <f t="shared" si="83"/>
        <v>367.07935268176516</v>
      </c>
      <c r="AE81" s="73">
        <f t="shared" si="84"/>
        <v>273.0954900934537</v>
      </c>
      <c r="AF81" s="73">
        <f t="shared" si="85"/>
        <v>207.59332797575647</v>
      </c>
      <c r="AG81" s="73">
        <f t="shared" si="86"/>
        <v>171.93667504413298</v>
      </c>
      <c r="AH81" s="74">
        <f t="shared" si="87"/>
        <v>167.45872090468927</v>
      </c>
      <c r="AI81" s="28"/>
      <c r="BX81"/>
    </row>
    <row r="82" spans="1:76" ht="16.5">
      <c r="A82" s="18">
        <v>44</v>
      </c>
      <c r="B82" s="4">
        <v>-0.5899700995025388</v>
      </c>
      <c r="C82" s="11">
        <v>192.78678151772814</v>
      </c>
      <c r="D82" s="4">
        <v>-1.1637762674259693</v>
      </c>
      <c r="E82" s="4">
        <f t="shared" si="60"/>
        <v>1.3047758117511823</v>
      </c>
      <c r="F82" s="83">
        <f t="shared" si="61"/>
        <v>1.112364081079498</v>
      </c>
      <c r="G82" s="86">
        <f t="shared" si="62"/>
        <v>363.4914570214059</v>
      </c>
      <c r="H82" s="88">
        <f t="shared" si="63"/>
        <v>2.194251741552617</v>
      </c>
      <c r="I82" s="88">
        <f t="shared" si="64"/>
        <v>2.460100517089196</v>
      </c>
      <c r="J82" s="57">
        <f t="shared" si="65"/>
        <v>1.8942528035833908</v>
      </c>
      <c r="K82" s="11">
        <f t="shared" si="66"/>
        <v>73.21127320954236</v>
      </c>
      <c r="L82" s="11">
        <f t="shared" si="67"/>
        <v>3840.988371862855</v>
      </c>
      <c r="M82" s="15">
        <f t="shared" si="68"/>
        <v>68.88115482796839</v>
      </c>
      <c r="N82" s="11">
        <f t="shared" si="69"/>
        <v>5146.126072478131</v>
      </c>
      <c r="O82" s="11">
        <f t="shared" si="70"/>
        <v>8298.777220492064</v>
      </c>
      <c r="P82" s="11">
        <f t="shared" si="71"/>
        <v>258.737828075966</v>
      </c>
      <c r="Q82" s="121">
        <f t="shared" si="72"/>
        <v>17686.721920946526</v>
      </c>
      <c r="R82" s="90">
        <f t="shared" si="88"/>
        <v>0.13952818633072392</v>
      </c>
      <c r="S82" s="28"/>
      <c r="T82" s="79">
        <f t="shared" si="73"/>
        <v>2.5769758024554075</v>
      </c>
      <c r="U82" s="80">
        <f t="shared" si="74"/>
        <v>2.1949599193587646</v>
      </c>
      <c r="V82" s="80">
        <f t="shared" si="75"/>
        <v>1.8942528035833908</v>
      </c>
      <c r="W82" s="80">
        <f t="shared" si="76"/>
        <v>1.7180914397426559</v>
      </c>
      <c r="X82" s="81">
        <f t="shared" si="77"/>
        <v>1.705515342027683</v>
      </c>
      <c r="Y82" s="165">
        <f t="shared" si="78"/>
        <v>9473.555565632636</v>
      </c>
      <c r="Z82" s="165">
        <f t="shared" si="79"/>
        <v>8714.865240515514</v>
      </c>
      <c r="AA82" s="165">
        <f t="shared" si="80"/>
        <v>8055.766654826548</v>
      </c>
      <c r="AB82" s="165">
        <f t="shared" si="81"/>
        <v>7640.146708896656</v>
      </c>
      <c r="AC82" s="165">
        <f t="shared" si="82"/>
        <v>7609.551932588971</v>
      </c>
      <c r="AD82" s="72">
        <f t="shared" si="83"/>
        <v>391.31773341541776</v>
      </c>
      <c r="AE82" s="73">
        <f t="shared" si="84"/>
        <v>294.0531032480038</v>
      </c>
      <c r="AF82" s="73">
        <f t="shared" si="85"/>
        <v>227.10153593633328</v>
      </c>
      <c r="AG82" s="73">
        <f t="shared" si="86"/>
        <v>191.81246144604182</v>
      </c>
      <c r="AH82" s="74">
        <f t="shared" si="87"/>
        <v>189.40430633403327</v>
      </c>
      <c r="AI82" s="28"/>
      <c r="BX82"/>
    </row>
    <row r="83" spans="1:76" ht="16.5">
      <c r="A83" s="18">
        <v>45</v>
      </c>
      <c r="B83" s="4">
        <v>-0.5820132667816189</v>
      </c>
      <c r="C83" s="11">
        <v>196.4470854530454</v>
      </c>
      <c r="D83" s="4">
        <v>-1.239075168627491</v>
      </c>
      <c r="E83" s="4">
        <f t="shared" si="60"/>
        <v>1.3689582594875043</v>
      </c>
      <c r="F83" s="83">
        <f t="shared" si="61"/>
        <v>1.0973618039719424</v>
      </c>
      <c r="G83" s="86">
        <f t="shared" si="62"/>
        <v>370.3928078303943</v>
      </c>
      <c r="H83" s="88">
        <f t="shared" si="63"/>
        <v>2.3362246874899664</v>
      </c>
      <c r="I83" s="88">
        <f t="shared" si="64"/>
        <v>2.58111385243932</v>
      </c>
      <c r="J83" s="57">
        <f t="shared" si="65"/>
        <v>1.987431861985921</v>
      </c>
      <c r="K83" s="11">
        <f t="shared" si="66"/>
        <v>71.24981241333387</v>
      </c>
      <c r="L83" s="11">
        <f t="shared" si="67"/>
        <v>3774.150444396215</v>
      </c>
      <c r="M83" s="15">
        <f t="shared" si="68"/>
        <v>78.08304372848725</v>
      </c>
      <c r="N83" s="11">
        <f t="shared" si="69"/>
        <v>5574.54861442592</v>
      </c>
      <c r="O83" s="11">
        <f t="shared" si="70"/>
        <v>8509.168823865642</v>
      </c>
      <c r="P83" s="11">
        <f t="shared" si="71"/>
        <v>279.69447543627365</v>
      </c>
      <c r="Q83" s="121">
        <f t="shared" si="72"/>
        <v>18286.89521426587</v>
      </c>
      <c r="R83" s="90">
        <f t="shared" si="88"/>
        <v>0.1442628732600079</v>
      </c>
      <c r="S83" s="28"/>
      <c r="T83" s="79">
        <f t="shared" si="73"/>
        <v>2.656645663074724</v>
      </c>
      <c r="U83" s="80">
        <f t="shared" si="74"/>
        <v>2.279430709861452</v>
      </c>
      <c r="V83" s="80">
        <f t="shared" si="75"/>
        <v>1.987431861985921</v>
      </c>
      <c r="W83" s="80">
        <f t="shared" si="76"/>
        <v>1.8220892717059096</v>
      </c>
      <c r="X83" s="81">
        <f t="shared" si="77"/>
        <v>1.8182893293275197</v>
      </c>
      <c r="Y83" s="165">
        <f t="shared" si="78"/>
        <v>9621.89153083832</v>
      </c>
      <c r="Z83" s="165">
        <f t="shared" si="79"/>
        <v>8889.740629636792</v>
      </c>
      <c r="AA83" s="165">
        <f t="shared" si="80"/>
        <v>8266.427046323539</v>
      </c>
      <c r="AB83" s="165">
        <f t="shared" si="81"/>
        <v>7888.353677981768</v>
      </c>
      <c r="AC83" s="165">
        <f t="shared" si="82"/>
        <v>7879.431234547795</v>
      </c>
      <c r="AD83" s="72">
        <f t="shared" si="83"/>
        <v>413.3243607179122</v>
      </c>
      <c r="AE83" s="73">
        <f t="shared" si="84"/>
        <v>314.3834699995994</v>
      </c>
      <c r="AF83" s="73">
        <f t="shared" si="85"/>
        <v>246.94230636802013</v>
      </c>
      <c r="AG83" s="73">
        <f t="shared" si="86"/>
        <v>212.29422049823228</v>
      </c>
      <c r="AH83" s="74">
        <f t="shared" si="87"/>
        <v>211.52801959760433</v>
      </c>
      <c r="AI83" s="28"/>
      <c r="BX83"/>
    </row>
    <row r="84" spans="1:76" ht="16.5">
      <c r="A84" s="18">
        <v>46</v>
      </c>
      <c r="B84" s="4">
        <v>-0.5731696417058778</v>
      </c>
      <c r="C84" s="11">
        <v>198.3951260814957</v>
      </c>
      <c r="D84" s="4">
        <v>-1.3126336149754054</v>
      </c>
      <c r="E84" s="4">
        <f t="shared" si="60"/>
        <v>1.4323164613089683</v>
      </c>
      <c r="F84" s="83">
        <f t="shared" si="61"/>
        <v>1.0806875167680938</v>
      </c>
      <c r="G84" s="86">
        <f t="shared" si="62"/>
        <v>374.06575740088743</v>
      </c>
      <c r="H84" s="88">
        <f t="shared" si="63"/>
        <v>2.474916078200151</v>
      </c>
      <c r="I84" s="88">
        <f t="shared" si="64"/>
        <v>2.7005731064038994</v>
      </c>
      <c r="J84" s="57">
        <f t="shared" si="65"/>
        <v>2.0794142932583344</v>
      </c>
      <c r="K84" s="11">
        <f t="shared" si="66"/>
        <v>69.10099738009967</v>
      </c>
      <c r="L84" s="11">
        <f t="shared" si="67"/>
        <v>3689.131735259444</v>
      </c>
      <c r="M84" s="15">
        <f t="shared" si="68"/>
        <v>87.62912402369962</v>
      </c>
      <c r="N84" s="11">
        <f t="shared" si="69"/>
        <v>6008.675585652549</v>
      </c>
      <c r="O84" s="11">
        <f t="shared" si="70"/>
        <v>8706.501161716771</v>
      </c>
      <c r="P84" s="11">
        <f t="shared" si="71"/>
        <v>300.63403111138217</v>
      </c>
      <c r="Q84" s="121">
        <f t="shared" si="72"/>
        <v>18861.672635143943</v>
      </c>
      <c r="R84" s="90">
        <f t="shared" si="88"/>
        <v>0.14879721554443032</v>
      </c>
      <c r="S84" s="28"/>
      <c r="T84" s="79">
        <f t="shared" si="73"/>
        <v>2.7287757847692</v>
      </c>
      <c r="U84" s="80">
        <f t="shared" si="74"/>
        <v>2.3602817454655565</v>
      </c>
      <c r="V84" s="80">
        <f t="shared" si="75"/>
        <v>2.0794142932583344</v>
      </c>
      <c r="W84" s="80">
        <f t="shared" si="76"/>
        <v>1.924920501898751</v>
      </c>
      <c r="X84" s="81">
        <f t="shared" si="77"/>
        <v>1.927432313947023</v>
      </c>
      <c r="Y84" s="165">
        <f t="shared" si="78"/>
        <v>9753.439183058712</v>
      </c>
      <c r="Z84" s="165">
        <f t="shared" si="79"/>
        <v>9053.219744979533</v>
      </c>
      <c r="AA84" s="165">
        <f t="shared" si="80"/>
        <v>8468.60016313687</v>
      </c>
      <c r="AB84" s="165">
        <f t="shared" si="81"/>
        <v>8125.77127952689</v>
      </c>
      <c r="AC84" s="165">
        <f t="shared" si="82"/>
        <v>8131.475437881849</v>
      </c>
      <c r="AD84" s="72">
        <f t="shared" si="83"/>
        <v>433.7609359382174</v>
      </c>
      <c r="AE84" s="73">
        <f t="shared" si="84"/>
        <v>334.4683884793386</v>
      </c>
      <c r="AF84" s="73">
        <f t="shared" si="85"/>
        <v>267.32561372640396</v>
      </c>
      <c r="AG84" s="73">
        <f t="shared" si="86"/>
        <v>233.5419111453256</v>
      </c>
      <c r="AH84" s="74">
        <f t="shared" si="87"/>
        <v>234.0733062676252</v>
      </c>
      <c r="AI84" s="28"/>
      <c r="BX84"/>
    </row>
    <row r="85" spans="1:76" ht="16.5">
      <c r="A85" s="18">
        <v>47</v>
      </c>
      <c r="B85" s="4">
        <v>-0.5638422032320918</v>
      </c>
      <c r="C85" s="11">
        <v>198.77989350058206</v>
      </c>
      <c r="D85" s="4">
        <v>-1.3853539176118572</v>
      </c>
      <c r="E85" s="4">
        <f t="shared" si="60"/>
        <v>1.495701677203091</v>
      </c>
      <c r="F85" s="83">
        <f t="shared" si="61"/>
        <v>1.0631010195278656</v>
      </c>
      <c r="G85" s="86">
        <f t="shared" si="62"/>
        <v>374.79122036404823</v>
      </c>
      <c r="H85" s="88">
        <f t="shared" si="63"/>
        <v>2.6120271838074136</v>
      </c>
      <c r="I85" s="88">
        <f t="shared" si="64"/>
        <v>2.820083294278748</v>
      </c>
      <c r="J85" s="57">
        <f t="shared" si="65"/>
        <v>2.171435943132449</v>
      </c>
      <c r="K85" s="11">
        <f t="shared" si="66"/>
        <v>66.87027595453937</v>
      </c>
      <c r="L85" s="11">
        <f t="shared" si="67"/>
        <v>3591.250889296332</v>
      </c>
      <c r="M85" s="15">
        <f t="shared" si="68"/>
        <v>97.60743518483756</v>
      </c>
      <c r="N85" s="11">
        <f t="shared" si="69"/>
        <v>6453.746600775699</v>
      </c>
      <c r="O85" s="11">
        <f t="shared" si="70"/>
        <v>8894.604165591825</v>
      </c>
      <c r="P85" s="11">
        <f t="shared" si="71"/>
        <v>321.8525323193535</v>
      </c>
      <c r="Q85" s="121">
        <f t="shared" si="72"/>
        <v>19425.93189912259</v>
      </c>
      <c r="R85" s="90">
        <f t="shared" si="88"/>
        <v>0.15324858149427367</v>
      </c>
      <c r="S85" s="28"/>
      <c r="T85" s="79">
        <f t="shared" si="73"/>
        <v>2.7956154802807607</v>
      </c>
      <c r="U85" s="80">
        <f t="shared" si="74"/>
        <v>2.4392457054308885</v>
      </c>
      <c r="V85" s="80">
        <f t="shared" si="75"/>
        <v>2.171435943132449</v>
      </c>
      <c r="W85" s="80">
        <f t="shared" si="76"/>
        <v>2.027587049815334</v>
      </c>
      <c r="X85" s="81">
        <f t="shared" si="77"/>
        <v>2.034169407846126</v>
      </c>
      <c r="Y85" s="165">
        <f t="shared" si="78"/>
        <v>9873.062143657948</v>
      </c>
      <c r="Z85" s="165">
        <f t="shared" si="79"/>
        <v>9209.330218166146</v>
      </c>
      <c r="AA85" s="165">
        <f t="shared" si="80"/>
        <v>8665.400880789344</v>
      </c>
      <c r="AB85" s="165">
        <f t="shared" si="81"/>
        <v>8355.3748208676</v>
      </c>
      <c r="AC85" s="165">
        <f t="shared" si="82"/>
        <v>8369.852764478086</v>
      </c>
      <c r="AD85" s="72">
        <f t="shared" si="83"/>
        <v>453.13343022133216</v>
      </c>
      <c r="AE85" s="73">
        <f t="shared" si="84"/>
        <v>354.6753112140995</v>
      </c>
      <c r="AF85" s="73">
        <f t="shared" si="85"/>
        <v>288.51030247917043</v>
      </c>
      <c r="AG85" s="73">
        <f t="shared" si="86"/>
        <v>255.7432677553749</v>
      </c>
      <c r="AH85" s="74">
        <f t="shared" si="87"/>
        <v>257.2003499267903</v>
      </c>
      <c r="AI85" s="28"/>
      <c r="BX85"/>
    </row>
    <row r="86" spans="1:76" ht="16.5">
      <c r="A86" s="18">
        <v>48</v>
      </c>
      <c r="B86" s="4">
        <v>-0.553885694261746</v>
      </c>
      <c r="C86" s="11">
        <v>197.80678894011174</v>
      </c>
      <c r="D86" s="4">
        <v>-1.4583924395940684</v>
      </c>
      <c r="E86" s="4">
        <f t="shared" si="60"/>
        <v>1.5600313683298022</v>
      </c>
      <c r="F86" s="83">
        <f t="shared" si="61"/>
        <v>1.044328436034402</v>
      </c>
      <c r="G86" s="86">
        <f t="shared" si="62"/>
        <v>372.9564721944128</v>
      </c>
      <c r="H86" s="88">
        <f t="shared" si="63"/>
        <v>2.749738278753841</v>
      </c>
      <c r="I86" s="88">
        <f t="shared" si="64"/>
        <v>2.941374250916431</v>
      </c>
      <c r="J86" s="57">
        <f t="shared" si="65"/>
        <v>2.264828767150912</v>
      </c>
      <c r="K86" s="11">
        <f t="shared" si="66"/>
        <v>64.52949305216848</v>
      </c>
      <c r="L86" s="11">
        <f t="shared" si="67"/>
        <v>3480.4002486375484</v>
      </c>
      <c r="M86" s="15">
        <f t="shared" si="68"/>
        <v>108.17084820195451</v>
      </c>
      <c r="N86" s="11">
        <f t="shared" si="69"/>
        <v>6916.086129529918</v>
      </c>
      <c r="O86" s="11">
        <f t="shared" si="70"/>
        <v>9077.355365644538</v>
      </c>
      <c r="P86" s="11">
        <f t="shared" si="71"/>
        <v>343.7442917708111</v>
      </c>
      <c r="Q86" s="121">
        <f t="shared" si="72"/>
        <v>19990.28637683694</v>
      </c>
      <c r="R86" s="90">
        <f t="shared" si="88"/>
        <v>0.1577006985725577</v>
      </c>
      <c r="S86" s="28"/>
      <c r="T86" s="79">
        <f t="shared" si="73"/>
        <v>2.8593962854236503</v>
      </c>
      <c r="U86" s="80">
        <f t="shared" si="74"/>
        <v>2.5180345744259576</v>
      </c>
      <c r="V86" s="80">
        <f t="shared" si="75"/>
        <v>2.264828767150912</v>
      </c>
      <c r="W86" s="80">
        <f t="shared" si="76"/>
        <v>2.1314316307646353</v>
      </c>
      <c r="X86" s="81">
        <f t="shared" si="77"/>
        <v>2.1403626969122604</v>
      </c>
      <c r="Y86" s="165">
        <f t="shared" si="78"/>
        <v>9985.212932658327</v>
      </c>
      <c r="Z86" s="165">
        <f t="shared" si="79"/>
        <v>9361.709917282164</v>
      </c>
      <c r="AA86" s="165">
        <f t="shared" si="80"/>
        <v>8859.813244787305</v>
      </c>
      <c r="AB86" s="165">
        <f t="shared" si="81"/>
        <v>8580.500063307321</v>
      </c>
      <c r="AC86" s="165">
        <f t="shared" si="82"/>
        <v>8599.540670187573</v>
      </c>
      <c r="AD86" s="72">
        <f t="shared" si="83"/>
        <v>472.00937111026025</v>
      </c>
      <c r="AE86" s="73">
        <f t="shared" si="84"/>
        <v>375.41930110588606</v>
      </c>
      <c r="AF86" s="73">
        <f t="shared" si="85"/>
        <v>310.8213235647406</v>
      </c>
      <c r="AG86" s="73">
        <f t="shared" si="86"/>
        <v>279.2033240410826</v>
      </c>
      <c r="AH86" s="74">
        <f t="shared" si="87"/>
        <v>281.26813903208597</v>
      </c>
      <c r="AI86" s="28"/>
      <c r="BX86"/>
    </row>
    <row r="87" spans="1:76" ht="16.5">
      <c r="A87" s="18">
        <v>49</v>
      </c>
      <c r="B87" s="4">
        <v>-0.5431440402046857</v>
      </c>
      <c r="C87" s="11">
        <v>195.4771629223311</v>
      </c>
      <c r="D87" s="4">
        <v>-1.5324290050316072</v>
      </c>
      <c r="E87" s="4">
        <f t="shared" si="60"/>
        <v>1.6258364320779723</v>
      </c>
      <c r="F87" s="83">
        <f t="shared" si="61"/>
        <v>1.0240754941403452</v>
      </c>
      <c r="G87" s="86">
        <f t="shared" si="62"/>
        <v>368.56405924549813</v>
      </c>
      <c r="H87" s="88">
        <f t="shared" si="63"/>
        <v>2.8893311431187505</v>
      </c>
      <c r="I87" s="88">
        <f t="shared" si="64"/>
        <v>3.065446961259434</v>
      </c>
      <c r="J87" s="57">
        <f t="shared" si="65"/>
        <v>2.3603635137122057</v>
      </c>
      <c r="K87" s="11">
        <f t="shared" si="66"/>
        <v>62.05088693530453</v>
      </c>
      <c r="L87" s="11">
        <f t="shared" si="67"/>
        <v>3355.4593367013345</v>
      </c>
      <c r="M87" s="15">
        <f t="shared" si="68"/>
        <v>119.43239837888046</v>
      </c>
      <c r="N87" s="11">
        <f t="shared" si="69"/>
        <v>7399.7533637568995</v>
      </c>
      <c r="O87" s="11">
        <f t="shared" si="70"/>
        <v>9256.75794602709</v>
      </c>
      <c r="P87" s="11">
        <f t="shared" si="71"/>
        <v>366.5505517570733</v>
      </c>
      <c r="Q87" s="121">
        <f t="shared" si="72"/>
        <v>20560.004483556582</v>
      </c>
      <c r="R87" s="90">
        <f t="shared" si="88"/>
        <v>0.1621951286034965</v>
      </c>
      <c r="S87" s="28"/>
      <c r="T87" s="79">
        <f t="shared" si="73"/>
        <v>2.9211545938094052</v>
      </c>
      <c r="U87" s="80">
        <f t="shared" si="74"/>
        <v>2.5975455146566326</v>
      </c>
      <c r="V87" s="80">
        <f t="shared" si="75"/>
        <v>2.3603635137122057</v>
      </c>
      <c r="W87" s="80">
        <f t="shared" si="76"/>
        <v>2.2372670402495323</v>
      </c>
      <c r="X87" s="81">
        <f t="shared" si="77"/>
        <v>2.247083972236464</v>
      </c>
      <c r="Y87" s="165">
        <f t="shared" si="78"/>
        <v>10091.984560758687</v>
      </c>
      <c r="Z87" s="165">
        <f t="shared" si="79"/>
        <v>9512.164015636044</v>
      </c>
      <c r="AA87" s="165">
        <f t="shared" si="80"/>
        <v>9053.383194323744</v>
      </c>
      <c r="AB87" s="165">
        <f t="shared" si="81"/>
        <v>8802.982178385257</v>
      </c>
      <c r="AC87" s="165">
        <f t="shared" si="82"/>
        <v>8823.275781031723</v>
      </c>
      <c r="AD87" s="72">
        <f t="shared" si="83"/>
        <v>490.64971529868467</v>
      </c>
      <c r="AE87" s="73">
        <f t="shared" si="84"/>
        <v>396.94264381964473</v>
      </c>
      <c r="AF87" s="73">
        <f t="shared" si="85"/>
        <v>334.48901106033577</v>
      </c>
      <c r="AG87" s="73">
        <f t="shared" si="86"/>
        <v>304.1520395740023</v>
      </c>
      <c r="AH87" s="74">
        <f t="shared" si="87"/>
        <v>306.51934903269915</v>
      </c>
      <c r="AI87" s="28"/>
      <c r="BX87"/>
    </row>
    <row r="88" spans="1:76" ht="16.5">
      <c r="A88" s="18">
        <v>50</v>
      </c>
      <c r="B88" s="4">
        <v>-0.5318523069431151</v>
      </c>
      <c r="C88" s="11">
        <v>191.67859495808676</v>
      </c>
      <c r="D88" s="4">
        <v>-1.6083404901146503</v>
      </c>
      <c r="E88" s="4">
        <f t="shared" si="60"/>
        <v>1.6939970509251032</v>
      </c>
      <c r="F88" s="83">
        <f t="shared" si="61"/>
        <v>1.0027854007883386</v>
      </c>
      <c r="G88" s="86">
        <f t="shared" si="62"/>
        <v>361.4020173614645</v>
      </c>
      <c r="H88" s="88">
        <f t="shared" si="63"/>
        <v>3.0324590904824893</v>
      </c>
      <c r="I88" s="88">
        <f t="shared" si="64"/>
        <v>3.193960972755321</v>
      </c>
      <c r="J88" s="57">
        <f t="shared" si="65"/>
        <v>2.4593180177598164</v>
      </c>
      <c r="K88" s="11">
        <f t="shared" si="66"/>
        <v>59.49768270346376</v>
      </c>
      <c r="L88" s="11">
        <f t="shared" si="67"/>
        <v>3218.9070694054344</v>
      </c>
      <c r="M88" s="15">
        <f t="shared" si="68"/>
        <v>131.55804698850693</v>
      </c>
      <c r="N88" s="11">
        <f t="shared" si="69"/>
        <v>7911.797051487524</v>
      </c>
      <c r="O88" s="11">
        <f t="shared" si="70"/>
        <v>9435.314602730763</v>
      </c>
      <c r="P88" s="11">
        <f t="shared" si="71"/>
        <v>390.64518861895027</v>
      </c>
      <c r="Q88" s="121">
        <f t="shared" si="72"/>
        <v>21147.71964193464</v>
      </c>
      <c r="R88" s="90">
        <f t="shared" si="88"/>
        <v>0.1668315349706056</v>
      </c>
      <c r="S88" s="28"/>
      <c r="T88" s="79">
        <f t="shared" si="73"/>
        <v>2.9822413234197236</v>
      </c>
      <c r="U88" s="80">
        <f t="shared" si="74"/>
        <v>2.6791332382017297</v>
      </c>
      <c r="V88" s="80">
        <f t="shared" si="75"/>
        <v>2.4593180177598164</v>
      </c>
      <c r="W88" s="80">
        <f t="shared" si="76"/>
        <v>2.3463234910034423</v>
      </c>
      <c r="X88" s="81">
        <f t="shared" si="77"/>
        <v>2.3555724026034124</v>
      </c>
      <c r="Y88" s="165">
        <f t="shared" si="78"/>
        <v>10195.862726684474</v>
      </c>
      <c r="Z88" s="165">
        <f t="shared" si="79"/>
        <v>9663.180459310573</v>
      </c>
      <c r="AA88" s="165">
        <f t="shared" si="80"/>
        <v>9248.46724588935</v>
      </c>
      <c r="AB88" s="165">
        <f t="shared" si="81"/>
        <v>9025.262856564763</v>
      </c>
      <c r="AC88" s="165">
        <f t="shared" si="82"/>
        <v>9043.799725204653</v>
      </c>
      <c r="AD88" s="72">
        <f t="shared" si="83"/>
        <v>509.43866882661024</v>
      </c>
      <c r="AE88" s="73">
        <f t="shared" si="84"/>
        <v>419.643487494572</v>
      </c>
      <c r="AF88" s="73">
        <f t="shared" si="85"/>
        <v>359.90489065729963</v>
      </c>
      <c r="AG88" s="73">
        <f t="shared" si="86"/>
        <v>330.95718385530864</v>
      </c>
      <c r="AH88" s="74">
        <f t="shared" si="87"/>
        <v>333.28171226096083</v>
      </c>
      <c r="AI88" s="28"/>
      <c r="BX88"/>
    </row>
    <row r="89" spans="1:76" ht="16.5">
      <c r="A89" s="18">
        <v>51</v>
      </c>
      <c r="B89" s="4">
        <v>-0.5197396600150359</v>
      </c>
      <c r="C89" s="11">
        <v>186.28593034491297</v>
      </c>
      <c r="D89" s="4">
        <v>-1.68723168296781</v>
      </c>
      <c r="E89" s="4">
        <f t="shared" si="60"/>
        <v>1.7654687950238412</v>
      </c>
      <c r="F89" s="83">
        <f t="shared" si="61"/>
        <v>0.9799475088664358</v>
      </c>
      <c r="G89" s="86">
        <f t="shared" si="62"/>
        <v>351.2343725569888</v>
      </c>
      <c r="H89" s="88">
        <f t="shared" si="63"/>
        <v>3.1812051528971197</v>
      </c>
      <c r="I89" s="88">
        <f t="shared" si="64"/>
        <v>3.328717973177169</v>
      </c>
      <c r="J89" s="57">
        <f t="shared" si="65"/>
        <v>2.563079560866845</v>
      </c>
      <c r="K89" s="11">
        <f t="shared" si="66"/>
        <v>56.81848800834629</v>
      </c>
      <c r="L89" s="11">
        <f t="shared" si="67"/>
        <v>3068.2397722770197</v>
      </c>
      <c r="M89" s="15">
        <f t="shared" si="68"/>
        <v>144.78076622750564</v>
      </c>
      <c r="N89" s="11">
        <f t="shared" si="69"/>
        <v>8460.410956371667</v>
      </c>
      <c r="O89" s="11">
        <f t="shared" si="70"/>
        <v>9615.595058945646</v>
      </c>
      <c r="P89" s="11">
        <f t="shared" si="71"/>
        <v>416.4918290165382</v>
      </c>
      <c r="Q89" s="121">
        <f t="shared" si="72"/>
        <v>21762.336870846724</v>
      </c>
      <c r="R89" s="90">
        <f t="shared" si="88"/>
        <v>0.17168016817810552</v>
      </c>
      <c r="S89" s="28"/>
      <c r="T89" s="79">
        <f t="shared" si="73"/>
        <v>3.0439691017877495</v>
      </c>
      <c r="U89" s="80">
        <f t="shared" si="74"/>
        <v>2.764160168370969</v>
      </c>
      <c r="V89" s="80">
        <f t="shared" si="75"/>
        <v>2.563079560866845</v>
      </c>
      <c r="W89" s="80">
        <f t="shared" si="76"/>
        <v>2.4601085523636517</v>
      </c>
      <c r="X89" s="81">
        <f t="shared" si="77"/>
        <v>2.467560171231258</v>
      </c>
      <c r="Y89" s="165">
        <f t="shared" si="78"/>
        <v>10299.11088680559</v>
      </c>
      <c r="Z89" s="165">
        <f t="shared" si="79"/>
        <v>9817.036159143005</v>
      </c>
      <c r="AA89" s="165">
        <f t="shared" si="80"/>
        <v>9447.349393341172</v>
      </c>
      <c r="AB89" s="165">
        <f t="shared" si="81"/>
        <v>9250.004166245548</v>
      </c>
      <c r="AC89" s="165">
        <f t="shared" si="82"/>
        <v>9264.474689192917</v>
      </c>
      <c r="AD89" s="72">
        <f t="shared" si="83"/>
        <v>528.7797036586857</v>
      </c>
      <c r="AE89" s="73">
        <f t="shared" si="84"/>
        <v>443.96446816130623</v>
      </c>
      <c r="AF89" s="73">
        <f t="shared" si="85"/>
        <v>387.54014530168496</v>
      </c>
      <c r="AG89" s="73">
        <f t="shared" si="86"/>
        <v>360.1116262606324</v>
      </c>
      <c r="AH89" s="74">
        <f t="shared" si="87"/>
        <v>362.06320170038185</v>
      </c>
      <c r="AI89" s="28"/>
      <c r="BX89"/>
    </row>
    <row r="90" spans="1:76" ht="16.5">
      <c r="A90" s="18">
        <v>52</v>
      </c>
      <c r="B90" s="4">
        <v>-0.507115608884023</v>
      </c>
      <c r="C90" s="11">
        <v>179.04529282170077</v>
      </c>
      <c r="D90" s="4">
        <v>-1.7698720892038968</v>
      </c>
      <c r="E90" s="4">
        <f t="shared" si="60"/>
        <v>1.8410902891810548</v>
      </c>
      <c r="F90" s="83">
        <f t="shared" si="61"/>
        <v>0.9561453855932556</v>
      </c>
      <c r="G90" s="86">
        <f t="shared" si="62"/>
        <v>337.58245170247613</v>
      </c>
      <c r="H90" s="88">
        <f t="shared" si="63"/>
        <v>3.337020201185759</v>
      </c>
      <c r="I90" s="88">
        <f t="shared" si="64"/>
        <v>3.4712991547132774</v>
      </c>
      <c r="J90" s="57">
        <f t="shared" si="65"/>
        <v>2.672865645210493</v>
      </c>
      <c r="K90" s="11">
        <f t="shared" si="66"/>
        <v>54.091859712579314</v>
      </c>
      <c r="L90" s="11">
        <f t="shared" si="67"/>
        <v>2906.397530853031</v>
      </c>
      <c r="M90" s="15">
        <f t="shared" si="68"/>
        <v>159.3107887021708</v>
      </c>
      <c r="N90" s="11">
        <f t="shared" si="69"/>
        <v>9053.481620660787</v>
      </c>
      <c r="O90" s="11">
        <f t="shared" si="70"/>
        <v>9799.424676876506</v>
      </c>
      <c r="P90" s="11">
        <f t="shared" si="71"/>
        <v>444.5438605801486</v>
      </c>
      <c r="Q90" s="121">
        <f t="shared" si="72"/>
        <v>22417.250337385223</v>
      </c>
      <c r="R90" s="90">
        <f t="shared" si="88"/>
        <v>0.17684669302075956</v>
      </c>
      <c r="S90" s="28"/>
      <c r="T90" s="79">
        <f t="shared" si="73"/>
        <v>3.1076206768038954</v>
      </c>
      <c r="U90" s="80">
        <f t="shared" si="74"/>
        <v>2.8539254986910114</v>
      </c>
      <c r="V90" s="80">
        <f t="shared" si="75"/>
        <v>2.672865645210493</v>
      </c>
      <c r="W90" s="80">
        <f t="shared" si="76"/>
        <v>2.5797802787645314</v>
      </c>
      <c r="X90" s="81">
        <f t="shared" si="77"/>
        <v>2.5841937505044847</v>
      </c>
      <c r="Y90" s="165">
        <f t="shared" si="78"/>
        <v>10403.796189669947</v>
      </c>
      <c r="Z90" s="165">
        <f t="shared" si="79"/>
        <v>9975.668725489628</v>
      </c>
      <c r="AA90" s="165">
        <f t="shared" si="80"/>
        <v>9651.698068134065</v>
      </c>
      <c r="AB90" s="165">
        <f t="shared" si="81"/>
        <v>9478.832269409188</v>
      </c>
      <c r="AC90" s="165">
        <f t="shared" si="82"/>
        <v>9487.128131679714</v>
      </c>
      <c r="AD90" s="72">
        <f t="shared" si="83"/>
        <v>549.0971301379593</v>
      </c>
      <c r="AE90" s="73">
        <f t="shared" si="84"/>
        <v>470.37535667705663</v>
      </c>
      <c r="AF90" s="73">
        <f t="shared" si="85"/>
        <v>417.8775016921742</v>
      </c>
      <c r="AG90" s="73">
        <f t="shared" si="86"/>
        <v>392.08230174596486</v>
      </c>
      <c r="AH90" s="74">
        <f t="shared" si="87"/>
        <v>393.28701264758837</v>
      </c>
      <c r="AI90" s="28"/>
      <c r="BX90"/>
    </row>
    <row r="91" spans="1:76" ht="16.5">
      <c r="A91" s="18">
        <v>53</v>
      </c>
      <c r="B91" s="4">
        <v>-0.4933396757856654</v>
      </c>
      <c r="C91" s="11">
        <v>169.5704965161943</v>
      </c>
      <c r="D91" s="4">
        <v>-1.857988197278325</v>
      </c>
      <c r="E91" s="4">
        <f t="shared" si="60"/>
        <v>1.9223694173935106</v>
      </c>
      <c r="F91" s="83">
        <f t="shared" si="61"/>
        <v>0.9301714367865479</v>
      </c>
      <c r="G91" s="86">
        <f t="shared" si="62"/>
        <v>319.7181174003192</v>
      </c>
      <c r="H91" s="88">
        <f t="shared" si="63"/>
        <v>3.50315945751275</v>
      </c>
      <c r="I91" s="88">
        <f t="shared" si="64"/>
        <v>3.6245475699147027</v>
      </c>
      <c r="J91" s="57">
        <f t="shared" si="65"/>
        <v>2.790865392831978</v>
      </c>
      <c r="K91" s="11">
        <f t="shared" si="66"/>
        <v>51.19293681777556</v>
      </c>
      <c r="L91" s="11">
        <f t="shared" si="67"/>
        <v>2727.016596200945</v>
      </c>
      <c r="M91" s="15">
        <f t="shared" si="68"/>
        <v>175.568794986031</v>
      </c>
      <c r="N91" s="11">
        <f t="shared" si="69"/>
        <v>9704.879528289002</v>
      </c>
      <c r="O91" s="11">
        <f t="shared" si="70"/>
        <v>9990.110372359672</v>
      </c>
      <c r="P91" s="11">
        <f t="shared" si="71"/>
        <v>475.5892779424703</v>
      </c>
      <c r="Q91" s="121">
        <f t="shared" si="72"/>
        <v>23124.357506595894</v>
      </c>
      <c r="R91" s="90">
        <f t="shared" si="88"/>
        <v>0.1824249670108409</v>
      </c>
      <c r="S91" s="28"/>
      <c r="T91" s="79">
        <f t="shared" si="73"/>
        <v>3.1748097627451606</v>
      </c>
      <c r="U91" s="80">
        <f t="shared" si="74"/>
        <v>2.950367653904583</v>
      </c>
      <c r="V91" s="80">
        <f t="shared" si="75"/>
        <v>2.790865392831978</v>
      </c>
      <c r="W91" s="80">
        <f t="shared" si="76"/>
        <v>2.7078031820507684</v>
      </c>
      <c r="X91" s="81">
        <f t="shared" si="77"/>
        <v>2.7082235115768523</v>
      </c>
      <c r="Y91" s="165">
        <f t="shared" si="78"/>
        <v>10512.37024721225</v>
      </c>
      <c r="Z91" s="165">
        <f t="shared" si="79"/>
        <v>10141.874554550726</v>
      </c>
      <c r="AA91" s="165">
        <f t="shared" si="80"/>
        <v>9864.63214285816</v>
      </c>
      <c r="AB91" s="165">
        <f t="shared" si="81"/>
        <v>9715.455767260155</v>
      </c>
      <c r="AC91" s="165">
        <f t="shared" si="82"/>
        <v>9716.219149917073</v>
      </c>
      <c r="AD91" s="72">
        <f t="shared" si="83"/>
        <v>570.9552762214748</v>
      </c>
      <c r="AE91" s="73">
        <f t="shared" si="84"/>
        <v>499.5914283288608</v>
      </c>
      <c r="AF91" s="73">
        <f t="shared" si="85"/>
        <v>451.7428805987613</v>
      </c>
      <c r="AG91" s="73">
        <f t="shared" si="86"/>
        <v>427.7685553296387</v>
      </c>
      <c r="AH91" s="74">
        <f t="shared" si="87"/>
        <v>427.888249233616</v>
      </c>
      <c r="AI91" s="28"/>
      <c r="BX91"/>
    </row>
    <row r="92" spans="1:76" ht="16.5">
      <c r="A92" s="18">
        <v>54</v>
      </c>
      <c r="B92" s="4">
        <v>-0.4787903408554657</v>
      </c>
      <c r="C92" s="11">
        <v>157.24990032700651</v>
      </c>
      <c r="D92" s="4">
        <v>-1.9528091483623131</v>
      </c>
      <c r="E92" s="4">
        <f t="shared" si="60"/>
        <v>2.010647597274081</v>
      </c>
      <c r="F92" s="83">
        <f t="shared" si="61"/>
        <v>0.902739270997814</v>
      </c>
      <c r="G92" s="86">
        <f t="shared" si="62"/>
        <v>296.48814579685416</v>
      </c>
      <c r="H92" s="88">
        <f t="shared" si="63"/>
        <v>3.6819404164267038</v>
      </c>
      <c r="I92" s="88">
        <f t="shared" si="64"/>
        <v>3.7909924058903246</v>
      </c>
      <c r="J92" s="57">
        <f t="shared" si="65"/>
        <v>2.9190262525198785</v>
      </c>
      <c r="K92" s="11">
        <f t="shared" si="66"/>
        <v>48.21794722164761</v>
      </c>
      <c r="L92" s="11">
        <f t="shared" si="67"/>
        <v>2533.4381237562807</v>
      </c>
      <c r="M92" s="15">
        <f t="shared" si="68"/>
        <v>193.94609002733444</v>
      </c>
      <c r="N92" s="11">
        <f t="shared" si="69"/>
        <v>10428.170934774791</v>
      </c>
      <c r="O92" s="11">
        <f t="shared" si="70"/>
        <v>10190.022673504136</v>
      </c>
      <c r="P92" s="11">
        <f t="shared" si="71"/>
        <v>510.44370703192743</v>
      </c>
      <c r="Q92" s="121">
        <f t="shared" si="72"/>
        <v>23904.239476316117</v>
      </c>
      <c r="R92" s="90">
        <f t="shared" si="88"/>
        <v>0.1885773516796033</v>
      </c>
      <c r="S92" s="28"/>
      <c r="T92" s="79">
        <f t="shared" si="73"/>
        <v>3.2473666659912688</v>
      </c>
      <c r="U92" s="80">
        <f t="shared" si="74"/>
        <v>3.055435663408275</v>
      </c>
      <c r="V92" s="80">
        <f t="shared" si="75"/>
        <v>2.9190262525198785</v>
      </c>
      <c r="W92" s="80">
        <f t="shared" si="76"/>
        <v>2.8461327749088756</v>
      </c>
      <c r="X92" s="81">
        <f t="shared" si="77"/>
        <v>2.8416473429611053</v>
      </c>
      <c r="Y92" s="165">
        <f t="shared" si="78"/>
        <v>10627.43020129188</v>
      </c>
      <c r="Z92" s="165">
        <f t="shared" si="79"/>
        <v>10318.102157125546</v>
      </c>
      <c r="AA92" s="165">
        <f t="shared" si="80"/>
        <v>10088.334427265725</v>
      </c>
      <c r="AB92" s="165">
        <f t="shared" si="81"/>
        <v>9962.0493817022</v>
      </c>
      <c r="AC92" s="165">
        <f t="shared" si="82"/>
        <v>9954.197200135326</v>
      </c>
      <c r="AD92" s="72">
        <f t="shared" si="83"/>
        <v>595.0343797022679</v>
      </c>
      <c r="AE92" s="73">
        <f t="shared" si="84"/>
        <v>532.4117886162337</v>
      </c>
      <c r="AF92" s="73">
        <f t="shared" si="85"/>
        <v>490.00138232453645</v>
      </c>
      <c r="AG92" s="73">
        <f t="shared" si="86"/>
        <v>468.05266490762585</v>
      </c>
      <c r="AH92" s="74">
        <f t="shared" si="87"/>
        <v>466.7183196089732</v>
      </c>
      <c r="AI92" s="28"/>
      <c r="BX92"/>
    </row>
    <row r="93" spans="1:76" ht="16.5">
      <c r="A93" s="11">
        <f>J26</f>
        <v>55.21613681534294</v>
      </c>
      <c r="B93" s="4">
        <v>-0.4635021370273096</v>
      </c>
      <c r="C93" s="11">
        <v>140.2893426549694</v>
      </c>
      <c r="D93" s="4">
        <v>-2.0562244163677725</v>
      </c>
      <c r="E93" s="4">
        <f t="shared" si="60"/>
        <v>2.1078171366358776</v>
      </c>
      <c r="F93" s="83">
        <f t="shared" si="61"/>
        <v>0.8739139986373973</v>
      </c>
      <c r="G93" s="86">
        <f t="shared" si="62"/>
        <v>264.5097198302511</v>
      </c>
      <c r="H93" s="88">
        <f t="shared" si="63"/>
        <v>3.8769256023903327</v>
      </c>
      <c r="I93" s="88">
        <f t="shared" si="64"/>
        <v>3.9742015303056846</v>
      </c>
      <c r="J93" s="57">
        <f t="shared" si="65"/>
        <v>3.060095446707309</v>
      </c>
      <c r="K93" s="11">
        <f t="shared" si="66"/>
        <v>45.18782500886292</v>
      </c>
      <c r="L93" s="11">
        <f t="shared" si="67"/>
        <v>2322.187428082476</v>
      </c>
      <c r="M93" s="15">
        <f t="shared" si="68"/>
        <v>215.03168115202925</v>
      </c>
      <c r="N93" s="11">
        <f t="shared" si="69"/>
        <v>11242.62641522797</v>
      </c>
      <c r="O93" s="11">
        <f t="shared" si="70"/>
        <v>10401.616619472052</v>
      </c>
      <c r="P93" s="11">
        <f t="shared" si="71"/>
        <v>550.107813124462</v>
      </c>
      <c r="Q93" s="121">
        <f t="shared" si="72"/>
        <v>24776.757782067853</v>
      </c>
      <c r="R93" s="90">
        <f>Q93*J$29*(A93-A92)</f>
        <v>0.23770674894494942</v>
      </c>
      <c r="S93" s="28"/>
      <c r="T93" s="79">
        <f t="shared" si="73"/>
        <v>3.325557292470909</v>
      </c>
      <c r="U93" s="80">
        <f t="shared" si="74"/>
        <v>3.1709101426833675</v>
      </c>
      <c r="V93" s="80">
        <f t="shared" si="75"/>
        <v>3.060095446707309</v>
      </c>
      <c r="W93" s="80">
        <f t="shared" si="76"/>
        <v>2.9979777076332805</v>
      </c>
      <c r="X93" s="81">
        <f t="shared" si="77"/>
        <v>2.987595975110111</v>
      </c>
      <c r="Y93" s="165">
        <f t="shared" si="78"/>
        <v>10748.923505077093</v>
      </c>
      <c r="Z93" s="165">
        <f t="shared" si="79"/>
        <v>10506.122256196879</v>
      </c>
      <c r="AA93" s="165">
        <f t="shared" si="80"/>
        <v>10325.803105104713</v>
      </c>
      <c r="AB93" s="165">
        <f t="shared" si="81"/>
        <v>10222.347043073902</v>
      </c>
      <c r="AC93" s="165">
        <f t="shared" si="82"/>
        <v>10204.887187907672</v>
      </c>
      <c r="AD93" s="72">
        <f t="shared" si="83"/>
        <v>621.5349312289281</v>
      </c>
      <c r="AE93" s="73">
        <f t="shared" si="84"/>
        <v>569.6750864404471</v>
      </c>
      <c r="AF93" s="73">
        <f t="shared" si="85"/>
        <v>533.8913138664159</v>
      </c>
      <c r="AG93" s="73">
        <f t="shared" si="86"/>
        <v>514.3354350618526</v>
      </c>
      <c r="AH93" s="74">
        <f t="shared" si="87"/>
        <v>511.1022990246667</v>
      </c>
      <c r="AI93" s="28"/>
      <c r="BX93"/>
    </row>
    <row r="94" spans="1:76" ht="6" customHeight="1">
      <c r="A94" s="11"/>
      <c r="B94" s="4"/>
      <c r="D94" s="4"/>
      <c r="E94" s="4"/>
      <c r="F94" s="83"/>
      <c r="G94" s="86"/>
      <c r="H94" s="88"/>
      <c r="I94" s="88"/>
      <c r="J94" s="57"/>
      <c r="L94" s="11"/>
      <c r="M94" s="15"/>
      <c r="N94" s="11"/>
      <c r="O94" s="11"/>
      <c r="P94" s="11"/>
      <c r="Q94" s="121"/>
      <c r="R94" s="90"/>
      <c r="S94" s="28"/>
      <c r="T94" s="79"/>
      <c r="U94" s="80"/>
      <c r="V94" s="80"/>
      <c r="W94" s="80"/>
      <c r="X94" s="81"/>
      <c r="Y94" s="165"/>
      <c r="Z94" s="165"/>
      <c r="AA94" s="165"/>
      <c r="AB94" s="165"/>
      <c r="AC94" s="165"/>
      <c r="AD94" s="64"/>
      <c r="AE94" s="65"/>
      <c r="AF94" s="65"/>
      <c r="AG94" s="65"/>
      <c r="AH94" s="66"/>
      <c r="AI94" s="28"/>
      <c r="BX94"/>
    </row>
    <row r="95" spans="1:76" ht="16.5">
      <c r="A95" s="11">
        <f>I27</f>
        <v>66.20526072708387</v>
      </c>
      <c r="B95" s="4">
        <v>-0.3268494801752908</v>
      </c>
      <c r="C95" s="11">
        <v>103.8678988060364</v>
      </c>
      <c r="D95" s="4">
        <v>-1.4315649793308114</v>
      </c>
      <c r="E95" s="4">
        <f aca="true" t="shared" si="89" ref="E95:E102">SQRT(B95^2+D95^2)</f>
        <v>1.468403511551673</v>
      </c>
      <c r="F95" s="83">
        <f aca="true" t="shared" si="90" ref="F95:F102">-B95*$E$29*(1-$E$33)/$E$30/$E$34</f>
        <v>0.6162610986100227</v>
      </c>
      <c r="G95" s="86">
        <f aca="true" t="shared" si="91" ref="G95:G102">C95*$E$29*(1-$E$33)/$E$30/$E$34</f>
        <v>195.83860250961374</v>
      </c>
      <c r="H95" s="88">
        <f aca="true" t="shared" si="92" ref="H95:H102">-D95*$E$29*(1-$E$33)/$E$30/$E$34</f>
        <v>2.6991562183941764</v>
      </c>
      <c r="I95" s="88">
        <f aca="true" t="shared" si="93" ref="I95:I102">E95*$E$29*(1-$E$33)/$E$30/$E$34</f>
        <v>2.7686137384900738</v>
      </c>
      <c r="J95" s="57">
        <f aca="true" t="shared" si="94" ref="J95:J102">E95*E$29/E$30</f>
        <v>2.131804899736203</v>
      </c>
      <c r="K95" s="11">
        <f aca="true" t="shared" si="95" ref="K95:K102">L$33*E$14/120*F95^2/E$8*E$7*E$10*(E$10-1)*E$5/E$6</f>
        <v>22.470542301893822</v>
      </c>
      <c r="L95" s="11">
        <f aca="true" t="shared" si="96" ref="L95:L102">L$34*E$14/6*F95^2/E$9*E$7*E$5/E$6*(1+(G95*E$5/F95)^2/15)</f>
        <v>1169.681047836674</v>
      </c>
      <c r="M95" s="15">
        <f aca="true" t="shared" si="97" ref="M95:M102">L$35*E$14/8*H95^2/E$9*E$7*E$6/E$5</f>
        <v>104.22779687101112</v>
      </c>
      <c r="N95" s="11">
        <f aca="true" t="shared" si="98" ref="N95:N102">E$14*E$15*(E$12/E$11)^2*J95*(1-E$33)/E$34^2*(E$20/2/PI())^2/E$19*LN((E$18+E$19*J95)/(E$18+E$19*E$33*J95))</f>
        <v>6260.771574279505</v>
      </c>
      <c r="O95" s="11">
        <f aca="true" t="shared" si="99" ref="O95:O102">(Y95+Z95+AA95+AB95+AC95)/5</f>
        <v>8659.070310557338</v>
      </c>
      <c r="P95" s="11">
        <f aca="true" t="shared" si="100" ref="P95:P102">(AD95+AE95+AF95+AG95+AH95)/5</f>
        <v>288.53589326522143</v>
      </c>
      <c r="Q95" s="121">
        <f aca="true" t="shared" si="101" ref="Q95:Q102">SUM(K95:P95)</f>
        <v>16504.75716511164</v>
      </c>
      <c r="R95" s="90">
        <f>Q95*J$29*(A96-A95)</f>
        <v>0.10347809263886812</v>
      </c>
      <c r="S95" s="28"/>
      <c r="T95" s="79">
        <f aca="true" t="shared" si="102" ref="T95:T102">SQRT(($B95-$C95*0.8*$E$5)^2+$D95^2)*$E$29/$E$30</f>
        <v>2.3336680736359763</v>
      </c>
      <c r="U95" s="80">
        <f aca="true" t="shared" si="103" ref="U95:U102">SQRT(($B95-$C95*0.4*$E$5)^2+$D95^2)*$E$29/$E$30</f>
        <v>2.2156691157765787</v>
      </c>
      <c r="V95" s="80">
        <f aca="true" t="shared" si="104" ref="V95:V102">SQRT(($B95)^2+$D95^2)*$E$29/$E$30</f>
        <v>2.131804899736203</v>
      </c>
      <c r="W95" s="80">
        <f aca="true" t="shared" si="105" ref="W95:W102">SQRT(($B95+$C95*0.4*$E$5)^2+$D95^2)*$E$29/$E$30</f>
        <v>2.0861961024091675</v>
      </c>
      <c r="X95" s="81">
        <f aca="true" t="shared" si="106" ref="X95:X102">SQRT(($B95+$C95*0.8*$E$5)^2+$D95^2)*$E$29/$E$30</f>
        <v>2.081359116565405</v>
      </c>
      <c r="Y95" s="165">
        <f aca="true" t="shared" si="107" ref="Y95:AC102">$L$36*$E$14*$E$15*$E$17/$E$34*2/3*$E$21/PI()*($E$22*$E$23*LN((T95+$E$23)/($E$33*T95+$E$23))+$E$24*T95*(1-$E$33)+$E$25*T95^2/2*(1-$E$33^2))</f>
        <v>8999.820077849228</v>
      </c>
      <c r="Z95" s="165">
        <f t="shared" si="107"/>
        <v>8758.132624241442</v>
      </c>
      <c r="AA95" s="165">
        <f t="shared" si="107"/>
        <v>8581.29685478579</v>
      </c>
      <c r="AB95" s="165">
        <f t="shared" si="107"/>
        <v>8483.287041781792</v>
      </c>
      <c r="AC95" s="165">
        <f t="shared" si="107"/>
        <v>8472.81495412844</v>
      </c>
      <c r="AD95" s="72">
        <f aca="true" t="shared" si="108" ref="AD95:AH102">1/9/PI()*$E$21/$E$34*$E$28^2*T95*(3*T95+4*$E$27)/($E$26*$E$27*$E$14*$E$15*$E$17*16*$E$5^2*$E$6^2)</f>
        <v>327.7894761042725</v>
      </c>
      <c r="AE95" s="73">
        <f t="shared" si="108"/>
        <v>298.9755600708305</v>
      </c>
      <c r="AF95" s="73">
        <f t="shared" si="108"/>
        <v>279.28947229759774</v>
      </c>
      <c r="AG95" s="73">
        <f t="shared" si="108"/>
        <v>268.85981946077123</v>
      </c>
      <c r="AH95" s="74">
        <f t="shared" si="108"/>
        <v>267.76513839263515</v>
      </c>
      <c r="AI95" s="28"/>
      <c r="BX95"/>
    </row>
    <row r="96" spans="1:76" ht="16.5">
      <c r="A96" s="18">
        <v>67</v>
      </c>
      <c r="B96" s="4">
        <v>-0.3163960523853646</v>
      </c>
      <c r="C96" s="11">
        <v>116.97068031077002</v>
      </c>
      <c r="D96" s="4">
        <v>-1.5031113978909254</v>
      </c>
      <c r="E96" s="4">
        <f t="shared" si="89"/>
        <v>1.536050238903225</v>
      </c>
      <c r="F96" s="83">
        <f t="shared" si="90"/>
        <v>0.5965515953530324</v>
      </c>
      <c r="G96" s="86">
        <f t="shared" si="91"/>
        <v>220.54335198825362</v>
      </c>
      <c r="H96" s="88">
        <f t="shared" si="92"/>
        <v>2.834054014406647</v>
      </c>
      <c r="I96" s="88">
        <f t="shared" si="93"/>
        <v>2.896158828947867</v>
      </c>
      <c r="J96" s="57">
        <f t="shared" si="94"/>
        <v>2.2300133442711596</v>
      </c>
      <c r="K96" s="11">
        <f t="shared" si="95"/>
        <v>21.056203491726432</v>
      </c>
      <c r="L96" s="11">
        <f t="shared" si="96"/>
        <v>1149.2973391758148</v>
      </c>
      <c r="M96" s="15">
        <f t="shared" si="97"/>
        <v>114.90627940859437</v>
      </c>
      <c r="N96" s="11">
        <f t="shared" si="98"/>
        <v>6742.502727387079</v>
      </c>
      <c r="O96" s="11">
        <f t="shared" si="99"/>
        <v>8880.271262355913</v>
      </c>
      <c r="P96" s="11">
        <f t="shared" si="100"/>
        <v>314.07607874258076</v>
      </c>
      <c r="Q96" s="121">
        <f t="shared" si="101"/>
        <v>17222.10989056171</v>
      </c>
      <c r="R96" s="90">
        <f aca="true" t="shared" si="109" ref="R96:R101">Q96*J$29</f>
        <v>0.1358629240940709</v>
      </c>
      <c r="S96" s="28"/>
      <c r="T96" s="79">
        <f t="shared" si="102"/>
        <v>2.4529487002392174</v>
      </c>
      <c r="U96" s="80">
        <f t="shared" si="103"/>
        <v>2.320722539013221</v>
      </c>
      <c r="V96" s="80">
        <f t="shared" si="104"/>
        <v>2.2300133442711596</v>
      </c>
      <c r="W96" s="80">
        <f t="shared" si="105"/>
        <v>2.185995554349476</v>
      </c>
      <c r="X96" s="81">
        <f t="shared" si="106"/>
        <v>2.191484484797616</v>
      </c>
      <c r="Y96" s="165">
        <f t="shared" si="107"/>
        <v>9236.071992906249</v>
      </c>
      <c r="Z96" s="165">
        <f t="shared" si="107"/>
        <v>8973.69968829805</v>
      </c>
      <c r="AA96" s="165">
        <f t="shared" si="107"/>
        <v>8787.95048421363</v>
      </c>
      <c r="AB96" s="165">
        <f t="shared" si="107"/>
        <v>8696.055524264211</v>
      </c>
      <c r="AC96" s="165">
        <f t="shared" si="107"/>
        <v>8707.578622097419</v>
      </c>
      <c r="AD96" s="72">
        <f t="shared" si="108"/>
        <v>358.2413620022987</v>
      </c>
      <c r="AE96" s="73">
        <f t="shared" si="108"/>
        <v>324.5646660789211</v>
      </c>
      <c r="AF96" s="73">
        <f t="shared" si="108"/>
        <v>302.40863996114064</v>
      </c>
      <c r="AG96" s="73">
        <f t="shared" si="108"/>
        <v>291.93477830934944</v>
      </c>
      <c r="AH96" s="74">
        <f t="shared" si="108"/>
        <v>293.23094736119396</v>
      </c>
      <c r="AI96" s="28"/>
      <c r="BX96"/>
    </row>
    <row r="97" spans="1:76" ht="16.5">
      <c r="A97" s="18">
        <v>68</v>
      </c>
      <c r="B97" s="4">
        <v>-0.3060447855019479</v>
      </c>
      <c r="C97" s="11">
        <v>124.38540401609183</v>
      </c>
      <c r="D97" s="4">
        <v>-1.6262178333673354</v>
      </c>
      <c r="E97" s="4">
        <f t="shared" si="89"/>
        <v>1.6547651955171416</v>
      </c>
      <c r="F97" s="83">
        <f t="shared" si="90"/>
        <v>0.577034712235584</v>
      </c>
      <c r="G97" s="86">
        <f t="shared" si="91"/>
        <v>234.5235050975099</v>
      </c>
      <c r="H97" s="88">
        <f t="shared" si="92"/>
        <v>3.0661660775250255</v>
      </c>
      <c r="I97" s="88">
        <f t="shared" si="93"/>
        <v>3.1199909413474263</v>
      </c>
      <c r="J97" s="57">
        <f t="shared" si="94"/>
        <v>2.402361833082719</v>
      </c>
      <c r="K97" s="11">
        <f t="shared" si="95"/>
        <v>19.700984306192908</v>
      </c>
      <c r="L97" s="11">
        <f t="shared" si="96"/>
        <v>1115.1165276888519</v>
      </c>
      <c r="M97" s="15">
        <f t="shared" si="97"/>
        <v>134.49894112868304</v>
      </c>
      <c r="N97" s="11">
        <f t="shared" si="98"/>
        <v>7615.721404657304</v>
      </c>
      <c r="O97" s="11">
        <f t="shared" si="99"/>
        <v>9230.255412477081</v>
      </c>
      <c r="P97" s="11">
        <f t="shared" si="100"/>
        <v>358.2530404726942</v>
      </c>
      <c r="Q97" s="121">
        <f t="shared" si="101"/>
        <v>18473.546310730806</v>
      </c>
      <c r="R97" s="90">
        <f t="shared" si="109"/>
        <v>0.145735338823881</v>
      </c>
      <c r="S97" s="28"/>
      <c r="T97" s="79">
        <f t="shared" si="102"/>
        <v>2.624850522449197</v>
      </c>
      <c r="U97" s="80">
        <f t="shared" si="103"/>
        <v>2.491405673329541</v>
      </c>
      <c r="V97" s="80">
        <f t="shared" si="104"/>
        <v>2.402361833082719</v>
      </c>
      <c r="W97" s="80">
        <f t="shared" si="105"/>
        <v>2.362744317327552</v>
      </c>
      <c r="X97" s="81">
        <f t="shared" si="106"/>
        <v>2.3750278367067312</v>
      </c>
      <c r="Y97" s="165">
        <f t="shared" si="107"/>
        <v>9563.079661310452</v>
      </c>
      <c r="Z97" s="165">
        <f t="shared" si="107"/>
        <v>9310.580549347447</v>
      </c>
      <c r="AA97" s="165">
        <f t="shared" si="107"/>
        <v>9136.8407454516</v>
      </c>
      <c r="AB97" s="165">
        <f t="shared" si="107"/>
        <v>9058.140614904234</v>
      </c>
      <c r="AC97" s="165">
        <f t="shared" si="107"/>
        <v>9082.635491371673</v>
      </c>
      <c r="AD97" s="72">
        <f t="shared" si="108"/>
        <v>404.47055860047453</v>
      </c>
      <c r="AE97" s="73">
        <f t="shared" si="108"/>
        <v>368.34326528838784</v>
      </c>
      <c r="AF97" s="73">
        <f t="shared" si="108"/>
        <v>345.16404642046376</v>
      </c>
      <c r="AG97" s="73">
        <f t="shared" si="108"/>
        <v>335.08974252439975</v>
      </c>
      <c r="AH97" s="74">
        <f t="shared" si="108"/>
        <v>338.1975895297451</v>
      </c>
      <c r="AI97" s="28"/>
      <c r="BX97"/>
    </row>
    <row r="98" spans="1:76" ht="16.5">
      <c r="A98" s="18">
        <v>69</v>
      </c>
      <c r="B98" s="4">
        <v>-0.29536781640040477</v>
      </c>
      <c r="C98" s="11">
        <v>126.9506343646594</v>
      </c>
      <c r="D98" s="4">
        <v>-1.7448986966969309</v>
      </c>
      <c r="E98" s="4">
        <f t="shared" si="89"/>
        <v>1.7697213364537907</v>
      </c>
      <c r="F98" s="83">
        <f t="shared" si="90"/>
        <v>0.556903731134395</v>
      </c>
      <c r="G98" s="86">
        <f t="shared" si="91"/>
        <v>239.36014021147184</v>
      </c>
      <c r="H98" s="88">
        <f t="shared" si="92"/>
        <v>3.2899339084552075</v>
      </c>
      <c r="I98" s="88">
        <f t="shared" si="93"/>
        <v>3.336735963146435</v>
      </c>
      <c r="J98" s="57">
        <f t="shared" si="94"/>
        <v>2.5692533329842364</v>
      </c>
      <c r="K98" s="11">
        <f t="shared" si="95"/>
        <v>18.350347854613453</v>
      </c>
      <c r="L98" s="11">
        <f t="shared" si="96"/>
        <v>1064.0813137452672</v>
      </c>
      <c r="M98" s="15">
        <f t="shared" si="97"/>
        <v>154.846667496148</v>
      </c>
      <c r="N98" s="11">
        <f t="shared" si="98"/>
        <v>8493.42216336475</v>
      </c>
      <c r="O98" s="11">
        <f t="shared" si="99"/>
        <v>9546.844515055433</v>
      </c>
      <c r="P98" s="11">
        <f t="shared" si="100"/>
        <v>402.75833085645417</v>
      </c>
      <c r="Q98" s="121">
        <f t="shared" si="101"/>
        <v>19680.303338372665</v>
      </c>
      <c r="R98" s="90">
        <f t="shared" si="109"/>
        <v>0.15525528379510342</v>
      </c>
      <c r="S98" s="28"/>
      <c r="T98" s="79">
        <f t="shared" si="102"/>
        <v>2.780429284444559</v>
      </c>
      <c r="U98" s="80">
        <f t="shared" si="103"/>
        <v>2.6527890497111133</v>
      </c>
      <c r="V98" s="80">
        <f t="shared" si="104"/>
        <v>2.5692533329842364</v>
      </c>
      <c r="W98" s="80">
        <f t="shared" si="105"/>
        <v>2.534187413382666</v>
      </c>
      <c r="X98" s="81">
        <f t="shared" si="106"/>
        <v>2.549591970013388</v>
      </c>
      <c r="Y98" s="165">
        <f t="shared" si="107"/>
        <v>9846.073070597602</v>
      </c>
      <c r="Z98" s="165">
        <f t="shared" si="107"/>
        <v>9614.78505223612</v>
      </c>
      <c r="AA98" s="165">
        <f t="shared" si="107"/>
        <v>9459.004516939407</v>
      </c>
      <c r="AB98" s="165">
        <f t="shared" si="107"/>
        <v>9392.541888621996</v>
      </c>
      <c r="AC98" s="165">
        <f t="shared" si="107"/>
        <v>9421.81804688204</v>
      </c>
      <c r="AD98" s="72">
        <f t="shared" si="108"/>
        <v>448.6952138914445</v>
      </c>
      <c r="AE98" s="73">
        <f t="shared" si="108"/>
        <v>412.24538848380166</v>
      </c>
      <c r="AF98" s="73">
        <f t="shared" si="108"/>
        <v>389.21620653683823</v>
      </c>
      <c r="AG98" s="73">
        <f t="shared" si="108"/>
        <v>379.74390878297</v>
      </c>
      <c r="AH98" s="74">
        <f t="shared" si="108"/>
        <v>383.8909365872165</v>
      </c>
      <c r="AI98" s="28"/>
      <c r="BX98"/>
    </row>
    <row r="99" spans="1:76" ht="16.5">
      <c r="A99" s="18">
        <v>70</v>
      </c>
      <c r="B99" s="4">
        <v>-0.2833675986125561</v>
      </c>
      <c r="C99" s="11">
        <v>125.64999275201042</v>
      </c>
      <c r="D99" s="4">
        <v>-1.8630264814476016</v>
      </c>
      <c r="E99" s="4">
        <f t="shared" si="89"/>
        <v>1.8844534662650807</v>
      </c>
      <c r="F99" s="83">
        <f t="shared" si="90"/>
        <v>0.5342778196795778</v>
      </c>
      <c r="G99" s="86">
        <f t="shared" si="91"/>
        <v>236.90783455481574</v>
      </c>
      <c r="H99" s="88">
        <f t="shared" si="92"/>
        <v>3.5126589327317492</v>
      </c>
      <c r="I99" s="88">
        <f t="shared" si="93"/>
        <v>3.5530586212869775</v>
      </c>
      <c r="J99" s="57">
        <f t="shared" si="94"/>
        <v>2.735819617091268</v>
      </c>
      <c r="K99" s="11">
        <f t="shared" si="95"/>
        <v>16.88956001851971</v>
      </c>
      <c r="L99" s="11">
        <f t="shared" si="96"/>
        <v>993.5969617402438</v>
      </c>
      <c r="M99" s="15">
        <f t="shared" si="97"/>
        <v>176.52226155214058</v>
      </c>
      <c r="N99" s="11">
        <f t="shared" si="98"/>
        <v>9399.240919047164</v>
      </c>
      <c r="O99" s="11">
        <f t="shared" si="99"/>
        <v>9844.190453246416</v>
      </c>
      <c r="P99" s="11">
        <f t="shared" si="100"/>
        <v>448.9690256441847</v>
      </c>
      <c r="Q99" s="121">
        <f t="shared" si="101"/>
        <v>20879.40918124867</v>
      </c>
      <c r="R99" s="90">
        <f t="shared" si="109"/>
        <v>0.1647148695918879</v>
      </c>
      <c r="S99" s="28"/>
      <c r="T99" s="79">
        <f t="shared" si="102"/>
        <v>2.927952140612266</v>
      </c>
      <c r="U99" s="80">
        <f t="shared" si="103"/>
        <v>2.811190770653427</v>
      </c>
      <c r="V99" s="80">
        <f t="shared" si="104"/>
        <v>2.735819617091268</v>
      </c>
      <c r="W99" s="80">
        <f t="shared" si="105"/>
        <v>2.7053003571653846</v>
      </c>
      <c r="X99" s="81">
        <f t="shared" si="106"/>
        <v>2.721142532955642</v>
      </c>
      <c r="Y99" s="165">
        <f t="shared" si="107"/>
        <v>10103.628444887796</v>
      </c>
      <c r="Z99" s="165">
        <f t="shared" si="107"/>
        <v>9900.627887407427</v>
      </c>
      <c r="AA99" s="165">
        <f t="shared" si="107"/>
        <v>9766.147846352933</v>
      </c>
      <c r="AB99" s="165">
        <f t="shared" si="107"/>
        <v>9710.908450288332</v>
      </c>
      <c r="AC99" s="165">
        <f t="shared" si="107"/>
        <v>9739.639637295593</v>
      </c>
      <c r="AD99" s="72">
        <f t="shared" si="108"/>
        <v>492.7232169696856</v>
      </c>
      <c r="AE99" s="73">
        <f t="shared" si="108"/>
        <v>457.70779074670065</v>
      </c>
      <c r="AF99" s="73">
        <f t="shared" si="108"/>
        <v>435.78276809390655</v>
      </c>
      <c r="AG99" s="73">
        <f t="shared" si="108"/>
        <v>427.05618825225025</v>
      </c>
      <c r="AH99" s="74">
        <f t="shared" si="108"/>
        <v>431.5751641583802</v>
      </c>
      <c r="AI99" s="28"/>
      <c r="BX99"/>
    </row>
    <row r="100" spans="1:76" ht="16.5">
      <c r="A100" s="18">
        <v>71</v>
      </c>
      <c r="B100" s="4">
        <v>-0.2699889150048618</v>
      </c>
      <c r="C100" s="11">
        <v>120.61920848467275</v>
      </c>
      <c r="D100" s="4">
        <v>-1.9834856507491039</v>
      </c>
      <c r="E100" s="4">
        <f t="shared" si="89"/>
        <v>2.0017765462091663</v>
      </c>
      <c r="F100" s="83">
        <f t="shared" si="90"/>
        <v>0.5090528682627607</v>
      </c>
      <c r="G100" s="86">
        <f t="shared" si="91"/>
        <v>227.42250008894226</v>
      </c>
      <c r="H100" s="88">
        <f t="shared" si="92"/>
        <v>3.7397796855981214</v>
      </c>
      <c r="I100" s="88">
        <f t="shared" si="93"/>
        <v>3.7742664081247534</v>
      </c>
      <c r="J100" s="57">
        <f t="shared" si="94"/>
        <v>2.9061474014566504</v>
      </c>
      <c r="K100" s="11">
        <f t="shared" si="95"/>
        <v>15.332388806198797</v>
      </c>
      <c r="L100" s="11">
        <f t="shared" si="96"/>
        <v>905.2188599646714</v>
      </c>
      <c r="M100" s="15">
        <f t="shared" si="97"/>
        <v>200.0873132659628</v>
      </c>
      <c r="N100" s="11">
        <f t="shared" si="98"/>
        <v>10354.760995282952</v>
      </c>
      <c r="O100" s="11">
        <f t="shared" si="99"/>
        <v>10131.527382992283</v>
      </c>
      <c r="P100" s="11">
        <f t="shared" si="100"/>
        <v>498.17170501012436</v>
      </c>
      <c r="Q100" s="121">
        <f t="shared" si="101"/>
        <v>22105.098645322192</v>
      </c>
      <c r="R100" s="90">
        <f t="shared" si="109"/>
        <v>0.17438417002479162</v>
      </c>
      <c r="S100" s="28"/>
      <c r="T100" s="79">
        <f t="shared" si="102"/>
        <v>3.07318564015737</v>
      </c>
      <c r="U100" s="80">
        <f t="shared" si="103"/>
        <v>2.9713561141888647</v>
      </c>
      <c r="V100" s="80">
        <f t="shared" si="104"/>
        <v>2.9061474014566504</v>
      </c>
      <c r="W100" s="80">
        <f t="shared" si="105"/>
        <v>2.880048031520749</v>
      </c>
      <c r="X100" s="81">
        <f t="shared" si="106"/>
        <v>2.894116271324884</v>
      </c>
      <c r="Y100" s="165">
        <f t="shared" si="107"/>
        <v>10347.38490188356</v>
      </c>
      <c r="Z100" s="165">
        <f t="shared" si="107"/>
        <v>10177.477212555475</v>
      </c>
      <c r="AA100" s="165">
        <f t="shared" si="107"/>
        <v>10066.202341614908</v>
      </c>
      <c r="AB100" s="165">
        <f t="shared" si="107"/>
        <v>10021.114879945133</v>
      </c>
      <c r="AC100" s="165">
        <f t="shared" si="107"/>
        <v>10045.457578962332</v>
      </c>
      <c r="AD100" s="72">
        <f t="shared" si="108"/>
        <v>538.0584515634494</v>
      </c>
      <c r="AE100" s="73">
        <f t="shared" si="108"/>
        <v>506.06503216728584</v>
      </c>
      <c r="AF100" s="73">
        <f t="shared" si="108"/>
        <v>486.0872891428413</v>
      </c>
      <c r="AG100" s="73">
        <f t="shared" si="108"/>
        <v>478.2028897092499</v>
      </c>
      <c r="AH100" s="74">
        <f t="shared" si="108"/>
        <v>482.44486246779536</v>
      </c>
      <c r="AI100" s="28"/>
      <c r="BX100"/>
    </row>
    <row r="101" spans="1:77" ht="16.5">
      <c r="A101" s="18">
        <v>72</v>
      </c>
      <c r="B101" s="4">
        <v>-0.25583793143957845</v>
      </c>
      <c r="C101" s="11">
        <v>111.28668841819632</v>
      </c>
      <c r="D101" s="4">
        <v>-2.108555433516901</v>
      </c>
      <c r="E101" s="4">
        <f t="shared" si="89"/>
        <v>2.1240195534356383</v>
      </c>
      <c r="F101" s="83">
        <f t="shared" si="90"/>
        <v>0.48237177740198617</v>
      </c>
      <c r="G101" s="86">
        <f t="shared" si="91"/>
        <v>209.82642171708</v>
      </c>
      <c r="H101" s="88">
        <f t="shared" si="92"/>
        <v>3.975593558363235</v>
      </c>
      <c r="I101" s="88">
        <f t="shared" si="93"/>
        <v>4.004750513194699</v>
      </c>
      <c r="J101" s="57">
        <f t="shared" si="94"/>
        <v>3.083617858121866</v>
      </c>
      <c r="K101" s="11">
        <f t="shared" si="95"/>
        <v>13.767269896172275</v>
      </c>
      <c r="L101" s="11">
        <f t="shared" si="96"/>
        <v>802.6948678243476</v>
      </c>
      <c r="M101" s="15">
        <f t="shared" si="97"/>
        <v>226.11609296139835</v>
      </c>
      <c r="N101" s="11">
        <f t="shared" si="98"/>
        <v>11380.24722081112</v>
      </c>
      <c r="O101" s="11">
        <f t="shared" si="99"/>
        <v>10414.989402820904</v>
      </c>
      <c r="P101" s="11">
        <f t="shared" si="100"/>
        <v>551.6243021373449</v>
      </c>
      <c r="Q101" s="121">
        <f t="shared" si="101"/>
        <v>23389.439156451284</v>
      </c>
      <c r="R101" s="90">
        <f t="shared" si="109"/>
        <v>0.1845161607322775</v>
      </c>
      <c r="S101" s="28"/>
      <c r="T101" s="79">
        <f t="shared" si="102"/>
        <v>3.220435412785688</v>
      </c>
      <c r="U101" s="80">
        <f t="shared" si="103"/>
        <v>3.1370530407844033</v>
      </c>
      <c r="V101" s="80">
        <f t="shared" si="104"/>
        <v>3.083617858121866</v>
      </c>
      <c r="W101" s="80">
        <f t="shared" si="105"/>
        <v>3.061698252706227</v>
      </c>
      <c r="X101" s="81">
        <f t="shared" si="106"/>
        <v>3.0719689236357057</v>
      </c>
      <c r="Y101" s="165">
        <f t="shared" si="107"/>
        <v>10584.985702037875</v>
      </c>
      <c r="Z101" s="165">
        <f t="shared" si="107"/>
        <v>10451.59932848226</v>
      </c>
      <c r="AA101" s="165">
        <f t="shared" si="107"/>
        <v>10364.530141931395</v>
      </c>
      <c r="AB101" s="165">
        <f t="shared" si="107"/>
        <v>10328.449736694532</v>
      </c>
      <c r="AC101" s="165">
        <f t="shared" si="107"/>
        <v>10345.38210495845</v>
      </c>
      <c r="AD101" s="72">
        <f t="shared" si="108"/>
        <v>586.0393124730293</v>
      </c>
      <c r="AE101" s="73">
        <f t="shared" si="108"/>
        <v>558.6201269495518</v>
      </c>
      <c r="AF101" s="73">
        <f t="shared" si="108"/>
        <v>541.3909362321072</v>
      </c>
      <c r="AG101" s="73">
        <f t="shared" si="108"/>
        <v>534.4006898406473</v>
      </c>
      <c r="AH101" s="74">
        <f t="shared" si="108"/>
        <v>537.6704451913888</v>
      </c>
      <c r="AI101" s="28"/>
      <c r="BX101"/>
      <c r="BY101"/>
    </row>
    <row r="102" spans="1:77" ht="16.5">
      <c r="A102" s="53">
        <f>J27</f>
        <v>73.17120452647318</v>
      </c>
      <c r="B102" s="68">
        <v>-0.24045827362357386</v>
      </c>
      <c r="C102" s="53">
        <v>96.65180988093557</v>
      </c>
      <c r="D102" s="68">
        <v>-2.240046943380341</v>
      </c>
      <c r="E102" s="68">
        <f t="shared" si="89"/>
        <v>2.252915997080592</v>
      </c>
      <c r="F102" s="84">
        <f t="shared" si="90"/>
        <v>0.4533740723517772</v>
      </c>
      <c r="G102" s="53">
        <f t="shared" si="91"/>
        <v>182.23296701566923</v>
      </c>
      <c r="H102" s="68">
        <f t="shared" si="92"/>
        <v>4.223515330436655</v>
      </c>
      <c r="I102" s="68">
        <f t="shared" si="93"/>
        <v>4.247779395862535</v>
      </c>
      <c r="J102" s="58">
        <f t="shared" si="94"/>
        <v>3.2707476681224694</v>
      </c>
      <c r="K102" s="89">
        <f t="shared" si="95"/>
        <v>12.161787367374133</v>
      </c>
      <c r="L102" s="53">
        <f t="shared" si="96"/>
        <v>685.2617234996903</v>
      </c>
      <c r="M102" s="67">
        <f t="shared" si="97"/>
        <v>255.1970595749397</v>
      </c>
      <c r="N102" s="53">
        <f t="shared" si="98"/>
        <v>12492.967200029214</v>
      </c>
      <c r="O102" s="53">
        <f t="shared" si="99"/>
        <v>10698.474820640196</v>
      </c>
      <c r="P102" s="124">
        <f t="shared" si="100"/>
        <v>610.5793472251461</v>
      </c>
      <c r="Q102" s="122">
        <f t="shared" si="101"/>
        <v>24754.64193833656</v>
      </c>
      <c r="R102" s="91">
        <f>Q102*J$29*(A102-A101)</f>
        <v>0.22871992104901667</v>
      </c>
      <c r="S102" s="52"/>
      <c r="T102" s="95">
        <f t="shared" si="102"/>
        <v>3.373028906954928</v>
      </c>
      <c r="U102" s="96">
        <f t="shared" si="103"/>
        <v>3.311041603329416</v>
      </c>
      <c r="V102" s="96">
        <f t="shared" si="104"/>
        <v>3.2707476681224694</v>
      </c>
      <c r="W102" s="96">
        <f t="shared" si="105"/>
        <v>3.25295334055141</v>
      </c>
      <c r="X102" s="97">
        <f t="shared" si="106"/>
        <v>3.25802729896578</v>
      </c>
      <c r="Y102" s="166">
        <f t="shared" si="107"/>
        <v>10821.438568068585</v>
      </c>
      <c r="Z102" s="166">
        <f t="shared" si="107"/>
        <v>10726.562952760958</v>
      </c>
      <c r="AA102" s="166">
        <f t="shared" si="107"/>
        <v>10664.02968315121</v>
      </c>
      <c r="AB102" s="166">
        <f t="shared" si="107"/>
        <v>10636.196359331225</v>
      </c>
      <c r="AC102" s="166">
        <f t="shared" si="107"/>
        <v>10644.146539889009</v>
      </c>
      <c r="AD102" s="75">
        <f t="shared" si="108"/>
        <v>637.9033932323396</v>
      </c>
      <c r="AE102" s="76">
        <f t="shared" si="108"/>
        <v>616.5719690840751</v>
      </c>
      <c r="AF102" s="76">
        <f t="shared" si="108"/>
        <v>602.8987303144087</v>
      </c>
      <c r="AG102" s="76">
        <f t="shared" si="108"/>
        <v>596.9088397178563</v>
      </c>
      <c r="AH102" s="77">
        <f t="shared" si="108"/>
        <v>598.6138037770512</v>
      </c>
      <c r="AI102" s="28"/>
      <c r="BX102"/>
      <c r="BY102"/>
    </row>
    <row r="103" spans="2:34" ht="8.25" customHeight="1">
      <c r="B103" s="15"/>
      <c r="D103" s="2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R103" s="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28"/>
      <c r="AE103" s="28"/>
      <c r="AF103" s="28"/>
      <c r="AG103" s="28"/>
      <c r="AH103" s="28"/>
    </row>
    <row r="104" spans="1:77" ht="16.5">
      <c r="A104" s="5"/>
      <c r="B104" s="15"/>
      <c r="D104" s="2"/>
      <c r="E104" s="33"/>
      <c r="F104" s="33"/>
      <c r="G104" s="33"/>
      <c r="H104" s="33"/>
      <c r="I104" s="33"/>
      <c r="J104" s="102" t="s">
        <v>155</v>
      </c>
      <c r="K104" s="18">
        <f>SUM(K40:K102)</f>
        <v>5643.524123331257</v>
      </c>
      <c r="L104" s="18">
        <f aca="true" t="shared" si="110" ref="L104:R104">SUM(L40:L102)</f>
        <v>292617.5771637036</v>
      </c>
      <c r="M104" s="18">
        <f t="shared" si="110"/>
        <v>4159.308097564799</v>
      </c>
      <c r="N104" s="18">
        <f t="shared" si="110"/>
        <v>314437.75674522936</v>
      </c>
      <c r="O104" s="18">
        <f t="shared" si="110"/>
        <v>480048.2897827103</v>
      </c>
      <c r="P104" s="18">
        <f t="shared" si="110"/>
        <v>16393.87575369175</v>
      </c>
      <c r="Q104" s="18">
        <f t="shared" si="110"/>
        <v>1113300.3316662312</v>
      </c>
      <c r="R104" s="4">
        <f t="shared" si="110"/>
        <v>8.781278468075266</v>
      </c>
      <c r="S104" s="28"/>
      <c r="T104" s="31"/>
      <c r="U104" s="31"/>
      <c r="V104" s="31"/>
      <c r="W104" s="31"/>
      <c r="X104" s="31"/>
      <c r="Y104" s="31"/>
      <c r="Z104" s="31"/>
      <c r="AA104" s="31"/>
      <c r="AB104" s="31"/>
      <c r="AC104" s="31" t="s">
        <v>145</v>
      </c>
      <c r="AD104" s="38">
        <f>SUM(AD40:AD102)/59</f>
        <v>444.0747270636288</v>
      </c>
      <c r="AE104" s="38">
        <f>SUM(AE40:AE102)/59</f>
        <v>324.98617990105873</v>
      </c>
      <c r="AF104" s="38">
        <f>SUM(AF40:AF102)/59</f>
        <v>240.866276359914</v>
      </c>
      <c r="AG104" s="38">
        <f>SUM(AG40:AG102)/59</f>
        <v>193.07611064530383</v>
      </c>
      <c r="AH104" s="38">
        <f>SUM(AH40:AH102)/59</f>
        <v>186.30821058024367</v>
      </c>
      <c r="AI104" s="28"/>
      <c r="BX104"/>
      <c r="BY104"/>
    </row>
    <row r="105" spans="1:76" ht="16.5">
      <c r="A105" s="5"/>
      <c r="B105" s="15"/>
      <c r="D105" s="2"/>
      <c r="E105" s="33"/>
      <c r="F105" s="33"/>
      <c r="G105" s="33"/>
      <c r="H105" s="33"/>
      <c r="I105" s="33"/>
      <c r="J105" s="10" t="s">
        <v>156</v>
      </c>
      <c r="K105" s="29">
        <f>K104/$Q$104</f>
        <v>0.005069183905554779</v>
      </c>
      <c r="L105" s="29">
        <f aca="true" t="shared" si="111" ref="L105:Q105">L104/$Q$104</f>
        <v>0.26283795022835826</v>
      </c>
      <c r="M105" s="29">
        <f t="shared" si="111"/>
        <v>0.0037360162206542527</v>
      </c>
      <c r="N105" s="29">
        <f t="shared" si="111"/>
        <v>0.2824374948982753</v>
      </c>
      <c r="O105" s="29">
        <f t="shared" si="111"/>
        <v>0.43119388014934085</v>
      </c>
      <c r="P105" s="29">
        <f t="shared" si="111"/>
        <v>0.014725474597816483</v>
      </c>
      <c r="Q105" s="11">
        <f t="shared" si="111"/>
        <v>1</v>
      </c>
      <c r="R105" s="11"/>
      <c r="S105" s="2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28"/>
      <c r="AF105" s="28"/>
      <c r="AG105" s="28"/>
      <c r="AH105" s="28"/>
      <c r="AI105" s="28"/>
      <c r="BX105"/>
    </row>
    <row r="106" spans="2:76" ht="5.25" customHeight="1">
      <c r="B106" s="15"/>
      <c r="E106" s="34"/>
      <c r="F106" s="34"/>
      <c r="G106" s="34"/>
      <c r="H106" s="34"/>
      <c r="I106" s="34"/>
      <c r="J106" s="33"/>
      <c r="L106" s="33"/>
      <c r="M106" s="33"/>
      <c r="N106" s="33"/>
      <c r="O106" s="33"/>
      <c r="P106" s="33"/>
      <c r="Q106" s="33"/>
      <c r="R106" s="18"/>
      <c r="S106"/>
      <c r="AC106" s="30"/>
      <c r="AD106" s="30"/>
      <c r="BX106"/>
    </row>
    <row r="107" spans="2:76" ht="16.5">
      <c r="B107" s="15"/>
      <c r="E107" s="34"/>
      <c r="F107" s="34"/>
      <c r="G107" s="34"/>
      <c r="H107" s="34"/>
      <c r="I107" s="34"/>
      <c r="J107" s="34"/>
      <c r="L107" s="33"/>
      <c r="M107" s="33"/>
      <c r="N107" s="33"/>
      <c r="O107" s="33" t="s">
        <v>57</v>
      </c>
      <c r="P107" s="33"/>
      <c r="Q107" s="18">
        <f>MAX(Q40:Q102)</f>
        <v>24776.757782067853</v>
      </c>
      <c r="R107" s="18"/>
      <c r="S107"/>
      <c r="AC107" s="30"/>
      <c r="AD107" s="30"/>
      <c r="BX107"/>
    </row>
    <row r="108" spans="2:29" ht="6" customHeight="1">
      <c r="B108" s="15"/>
      <c r="E108" s="34"/>
      <c r="F108" s="34"/>
      <c r="G108" s="34"/>
      <c r="H108" s="34"/>
      <c r="I108" s="34"/>
      <c r="J108" s="33"/>
      <c r="L108" s="33"/>
      <c r="M108" s="33"/>
      <c r="N108" s="33"/>
      <c r="O108" s="33"/>
      <c r="P108" s="33"/>
      <c r="R108"/>
      <c r="AC108" s="30"/>
    </row>
    <row r="109" spans="2:75" ht="16.5">
      <c r="B109" s="15"/>
      <c r="E109" s="34"/>
      <c r="F109" s="34"/>
      <c r="G109" s="34"/>
      <c r="H109" s="34"/>
      <c r="I109" s="34"/>
      <c r="J109" s="102" t="s">
        <v>158</v>
      </c>
      <c r="K109" s="4">
        <f aca="true" t="shared" si="112" ref="K109:P109">(SUM(K40:K55)+K56*($A56-$A55)+K58*($A59-$A58)+SUM(K59:K76)+K77*($A77-$A76)+K79*($A80-$A79)+SUM(K80:K92)+K93*($A93-$A92)+K95*($A96-$A95)+SUM(K96:K101)+K102*($A102-$A101))*$J$29</f>
        <v>0.044167551229613744</v>
      </c>
      <c r="L109" s="4">
        <f t="shared" si="112"/>
        <v>2.290636667296569</v>
      </c>
      <c r="M109" s="4">
        <f t="shared" si="112"/>
        <v>0.033390439790571415</v>
      </c>
      <c r="N109" s="4">
        <f t="shared" si="112"/>
        <v>2.500469887978272</v>
      </c>
      <c r="O109" s="4">
        <f t="shared" si="112"/>
        <v>3.7823684209595045</v>
      </c>
      <c r="P109" s="4">
        <f t="shared" si="112"/>
        <v>0.1302455008207351</v>
      </c>
      <c r="Q109" s="4">
        <f>SUM(K109:P109)</f>
        <v>8.781278468075264</v>
      </c>
      <c r="R109"/>
      <c r="AC109" s="30"/>
      <c r="BW109" s="2"/>
    </row>
    <row r="110" spans="2:75" ht="16.5">
      <c r="B110" s="15"/>
      <c r="E110" s="34"/>
      <c r="F110" s="34"/>
      <c r="G110" s="34"/>
      <c r="H110" s="34"/>
      <c r="I110" s="34"/>
      <c r="J110" s="33"/>
      <c r="L110" s="33"/>
      <c r="M110" s="33"/>
      <c r="N110" s="33"/>
      <c r="O110" s="33"/>
      <c r="P110" s="33"/>
      <c r="R110"/>
      <c r="AC110" s="30"/>
      <c r="BW110" s="2"/>
    </row>
    <row r="111" spans="2:75" ht="16.5">
      <c r="B111" s="15"/>
      <c r="E111" s="34"/>
      <c r="F111" s="34"/>
      <c r="G111" s="34"/>
      <c r="H111" s="34"/>
      <c r="I111" s="34"/>
      <c r="J111" s="33"/>
      <c r="L111" s="33"/>
      <c r="M111" s="33"/>
      <c r="N111" s="33"/>
      <c r="O111" s="33"/>
      <c r="P111" s="2"/>
      <c r="Q111" s="40"/>
      <c r="BW111" s="2"/>
    </row>
    <row r="112" spans="2:75" ht="16.5">
      <c r="B112" s="4"/>
      <c r="E112" s="34"/>
      <c r="F112" s="34"/>
      <c r="G112" s="34"/>
      <c r="H112" s="34"/>
      <c r="I112" s="34"/>
      <c r="J112" s="33"/>
      <c r="L112" s="33"/>
      <c r="M112" s="33"/>
      <c r="N112" s="33"/>
      <c r="O112" s="33"/>
      <c r="P112" s="2"/>
      <c r="Q112" s="40"/>
      <c r="BW112" s="2"/>
    </row>
    <row r="113" spans="2:75" ht="16.5">
      <c r="B113" s="4"/>
      <c r="E113" s="34"/>
      <c r="F113" s="34"/>
      <c r="G113" s="34"/>
      <c r="H113" s="34"/>
      <c r="I113" s="34"/>
      <c r="J113" s="33"/>
      <c r="L113" s="33"/>
      <c r="M113" s="33"/>
      <c r="N113" s="33"/>
      <c r="O113" s="33"/>
      <c r="P113" s="2"/>
      <c r="Q113" s="40"/>
      <c r="BW113" s="2"/>
    </row>
    <row r="114" spans="2:17" ht="16.5">
      <c r="B114" s="4"/>
      <c r="E114" s="34"/>
      <c r="F114" s="34"/>
      <c r="G114" s="34"/>
      <c r="H114" s="34"/>
      <c r="I114" s="34"/>
      <c r="J114" s="33"/>
      <c r="L114" s="33"/>
      <c r="M114" s="33"/>
      <c r="N114" s="33"/>
      <c r="O114" s="33"/>
      <c r="P114" s="2"/>
      <c r="Q114" s="40"/>
    </row>
    <row r="115" spans="2:17" ht="16.5">
      <c r="B115" s="4"/>
      <c r="E115" s="34"/>
      <c r="F115" s="34"/>
      <c r="G115" s="34"/>
      <c r="H115" s="34"/>
      <c r="I115" s="34"/>
      <c r="J115" s="33"/>
      <c r="L115" s="33"/>
      <c r="M115" s="33"/>
      <c r="N115" s="33"/>
      <c r="O115" s="33"/>
      <c r="P115" s="2"/>
      <c r="Q115" s="40"/>
    </row>
    <row r="116" spans="2:17" ht="16.5">
      <c r="B116" s="4"/>
      <c r="E116" s="34"/>
      <c r="F116" s="34"/>
      <c r="G116" s="34"/>
      <c r="H116" s="34"/>
      <c r="I116" s="34"/>
      <c r="J116" s="33"/>
      <c r="L116" s="33"/>
      <c r="M116" s="33"/>
      <c r="N116" s="33"/>
      <c r="O116" s="33"/>
      <c r="P116" s="2"/>
      <c r="Q116" s="40"/>
    </row>
    <row r="117" spans="2:15" ht="16.5">
      <c r="B117" s="4"/>
      <c r="E117" s="34"/>
      <c r="F117" s="34"/>
      <c r="G117" s="34"/>
      <c r="H117" s="34"/>
      <c r="I117" s="34"/>
      <c r="J117" s="33"/>
      <c r="L117" s="33"/>
      <c r="M117" s="33"/>
      <c r="N117" s="33"/>
      <c r="O117" s="33"/>
    </row>
    <row r="118" spans="2:15" ht="16.5">
      <c r="B118" s="4"/>
      <c r="E118" s="34"/>
      <c r="F118" s="34"/>
      <c r="G118" s="34"/>
      <c r="H118" s="34"/>
      <c r="I118" s="34"/>
      <c r="J118" s="33"/>
      <c r="L118" s="33"/>
      <c r="M118" s="33"/>
      <c r="N118" s="33"/>
      <c r="O118" s="33"/>
    </row>
    <row r="119" spans="2:15" ht="16.5">
      <c r="B119" s="4"/>
      <c r="E119" s="34"/>
      <c r="F119" s="34"/>
      <c r="G119" s="34"/>
      <c r="H119" s="34"/>
      <c r="I119" s="34"/>
      <c r="J119" s="33"/>
      <c r="L119" s="33"/>
      <c r="M119" s="33"/>
      <c r="N119" s="33"/>
      <c r="O119" s="33"/>
    </row>
    <row r="120" spans="2:15" ht="16.5">
      <c r="B120" s="4"/>
      <c r="E120" s="34"/>
      <c r="F120" s="34"/>
      <c r="G120" s="34"/>
      <c r="H120" s="34"/>
      <c r="I120" s="34"/>
      <c r="J120" s="33"/>
      <c r="L120" s="33"/>
      <c r="M120" s="33"/>
      <c r="N120" s="33"/>
      <c r="O120" s="33"/>
    </row>
    <row r="121" spans="2:15" ht="16.5">
      <c r="B121" s="4"/>
      <c r="E121" s="34"/>
      <c r="F121" s="34"/>
      <c r="G121" s="34"/>
      <c r="H121" s="34"/>
      <c r="I121" s="34"/>
      <c r="J121" s="33"/>
      <c r="L121" s="33"/>
      <c r="M121" s="33"/>
      <c r="N121" s="33"/>
      <c r="O121" s="33"/>
    </row>
    <row r="122" spans="2:15" ht="16.5">
      <c r="B122" s="4"/>
      <c r="E122" s="34"/>
      <c r="F122" s="34"/>
      <c r="G122" s="34"/>
      <c r="H122" s="34"/>
      <c r="I122" s="34"/>
      <c r="J122" s="33"/>
      <c r="L122" s="33"/>
      <c r="M122" s="33"/>
      <c r="N122" s="33"/>
      <c r="O122" s="33"/>
    </row>
    <row r="123" spans="2:15" ht="16.5">
      <c r="B123" s="4"/>
      <c r="E123" s="34"/>
      <c r="F123" s="34"/>
      <c r="G123" s="34"/>
      <c r="H123" s="34"/>
      <c r="I123" s="34"/>
      <c r="J123" s="33"/>
      <c r="L123" s="33"/>
      <c r="M123" s="33"/>
      <c r="N123" s="33"/>
      <c r="O123" s="33"/>
    </row>
    <row r="124" spans="2:15" ht="16.5">
      <c r="B124" s="4"/>
      <c r="E124" s="33"/>
      <c r="F124" s="34"/>
      <c r="G124" s="33"/>
      <c r="H124" s="33"/>
      <c r="I124" s="33"/>
      <c r="J124" s="33"/>
      <c r="L124" s="33"/>
      <c r="M124" s="33"/>
      <c r="N124" s="33"/>
      <c r="O124" s="33"/>
    </row>
    <row r="125" spans="2:15" ht="16.5">
      <c r="B125" s="4"/>
      <c r="E125" s="33"/>
      <c r="F125" s="34"/>
      <c r="G125" s="33"/>
      <c r="H125" s="33"/>
      <c r="I125" s="33"/>
      <c r="J125" s="33"/>
      <c r="L125" s="33"/>
      <c r="M125" s="33"/>
      <c r="N125" s="33"/>
      <c r="O125" s="33"/>
    </row>
    <row r="126" spans="2:15" ht="16.5">
      <c r="B126" s="4"/>
      <c r="E126" s="33"/>
      <c r="F126" s="34"/>
      <c r="G126" s="33"/>
      <c r="H126" s="33"/>
      <c r="I126" s="33"/>
      <c r="J126" s="33"/>
      <c r="L126" s="33"/>
      <c r="M126" s="33"/>
      <c r="N126" s="33"/>
      <c r="O126" s="33"/>
    </row>
    <row r="127" spans="2:15" ht="16.5">
      <c r="B127" s="4"/>
      <c r="E127" s="33"/>
      <c r="F127" s="34"/>
      <c r="G127" s="33"/>
      <c r="H127" s="33"/>
      <c r="I127" s="33"/>
      <c r="J127" s="33"/>
      <c r="L127" s="33"/>
      <c r="M127" s="33"/>
      <c r="N127" s="33"/>
      <c r="O127" s="33"/>
    </row>
    <row r="128" spans="2:15" ht="16.5">
      <c r="B128" s="4"/>
      <c r="E128" s="33"/>
      <c r="F128" s="34"/>
      <c r="G128" s="33"/>
      <c r="H128" s="33"/>
      <c r="I128" s="33"/>
      <c r="J128" s="33"/>
      <c r="L128" s="33"/>
      <c r="M128" s="33"/>
      <c r="N128" s="33"/>
      <c r="O128" s="33"/>
    </row>
    <row r="129" spans="2:15" ht="16.5">
      <c r="B129" s="4"/>
      <c r="E129" s="33"/>
      <c r="F129" s="34"/>
      <c r="G129" s="33"/>
      <c r="H129" s="33"/>
      <c r="I129" s="33"/>
      <c r="J129" s="33"/>
      <c r="L129" s="33"/>
      <c r="M129" s="33"/>
      <c r="N129" s="33"/>
      <c r="O129" s="33"/>
    </row>
    <row r="130" spans="2:15" ht="16.5">
      <c r="B130" s="4"/>
      <c r="E130" s="33"/>
      <c r="F130" s="34"/>
      <c r="G130" s="33"/>
      <c r="H130" s="33"/>
      <c r="I130" s="33"/>
      <c r="J130" s="33"/>
      <c r="L130" s="33"/>
      <c r="M130" s="33"/>
      <c r="N130" s="33"/>
      <c r="O130" s="33"/>
    </row>
    <row r="131" spans="2:15" ht="16.5">
      <c r="B131" s="4"/>
      <c r="E131" s="33"/>
      <c r="F131" s="34"/>
      <c r="G131" s="33"/>
      <c r="H131" s="33"/>
      <c r="I131" s="33"/>
      <c r="J131" s="33"/>
      <c r="L131" s="33"/>
      <c r="M131" s="33"/>
      <c r="N131" s="33"/>
      <c r="O131" s="33"/>
    </row>
    <row r="132" spans="2:15" ht="16.5">
      <c r="B132" s="4"/>
      <c r="E132" s="33"/>
      <c r="F132" s="34"/>
      <c r="G132" s="33"/>
      <c r="H132" s="33"/>
      <c r="I132" s="33"/>
      <c r="J132" s="33"/>
      <c r="L132" s="33"/>
      <c r="M132" s="33"/>
      <c r="N132" s="33"/>
      <c r="O132" s="33"/>
    </row>
    <row r="133" spans="2:15" ht="16.5">
      <c r="B133" s="4"/>
      <c r="E133" s="33"/>
      <c r="F133" s="34"/>
      <c r="G133" s="33"/>
      <c r="H133" s="33"/>
      <c r="I133" s="33"/>
      <c r="J133" s="33"/>
      <c r="L133" s="33"/>
      <c r="M133" s="33"/>
      <c r="N133" s="33"/>
      <c r="O133" s="33"/>
    </row>
    <row r="134" spans="2:15" ht="16.5">
      <c r="B134" s="4"/>
      <c r="E134" s="33"/>
      <c r="F134" s="34"/>
      <c r="G134" s="33"/>
      <c r="H134" s="33"/>
      <c r="I134" s="33"/>
      <c r="J134" s="33"/>
      <c r="L134" s="33"/>
      <c r="M134" s="33"/>
      <c r="N134" s="33"/>
      <c r="O134" s="33"/>
    </row>
    <row r="135" spans="2:15" ht="16.5">
      <c r="B135" s="4"/>
      <c r="E135" s="33"/>
      <c r="F135" s="34"/>
      <c r="G135" s="33"/>
      <c r="H135" s="33"/>
      <c r="I135" s="33"/>
      <c r="J135" s="33"/>
      <c r="L135" s="33"/>
      <c r="M135" s="33"/>
      <c r="N135" s="33"/>
      <c r="O135" s="33"/>
    </row>
    <row r="136" spans="2:15" ht="16.5">
      <c r="B136" s="4"/>
      <c r="E136" s="33"/>
      <c r="F136" s="34"/>
      <c r="G136" s="33"/>
      <c r="H136" s="33"/>
      <c r="I136" s="33"/>
      <c r="J136" s="33"/>
      <c r="L136" s="33"/>
      <c r="M136" s="33"/>
      <c r="N136" s="33"/>
      <c r="O136" s="33"/>
    </row>
    <row r="137" spans="2:15" ht="16.5">
      <c r="B137" s="4"/>
      <c r="E137" s="33"/>
      <c r="F137" s="34"/>
      <c r="G137" s="33"/>
      <c r="H137" s="33"/>
      <c r="I137" s="33"/>
      <c r="J137" s="33"/>
      <c r="L137" s="33"/>
      <c r="M137" s="33"/>
      <c r="N137" s="33"/>
      <c r="O137" s="33"/>
    </row>
    <row r="138" spans="2:15" ht="16.5">
      <c r="B138" s="4"/>
      <c r="E138" s="33"/>
      <c r="F138" s="34"/>
      <c r="G138" s="33"/>
      <c r="H138" s="33"/>
      <c r="I138" s="33"/>
      <c r="J138" s="33"/>
      <c r="L138" s="33"/>
      <c r="M138" s="33"/>
      <c r="N138" s="33"/>
      <c r="O138" s="33"/>
    </row>
    <row r="139" spans="2:15" ht="16.5">
      <c r="B139" s="4"/>
      <c r="E139" s="33"/>
      <c r="F139" s="34"/>
      <c r="G139" s="33"/>
      <c r="H139" s="33"/>
      <c r="I139" s="33"/>
      <c r="J139" s="33"/>
      <c r="L139" s="33"/>
      <c r="M139" s="33"/>
      <c r="N139" s="33"/>
      <c r="O139" s="33"/>
    </row>
    <row r="140" spans="2:15" ht="16.5">
      <c r="B140" s="4"/>
      <c r="E140" s="33"/>
      <c r="F140" s="34"/>
      <c r="G140" s="33"/>
      <c r="H140" s="33"/>
      <c r="I140" s="33"/>
      <c r="J140" s="33"/>
      <c r="L140" s="33"/>
      <c r="M140" s="33"/>
      <c r="N140" s="33"/>
      <c r="O140" s="33"/>
    </row>
    <row r="141" spans="2:15" ht="16.5">
      <c r="B141" s="4"/>
      <c r="E141" s="33"/>
      <c r="F141" s="34"/>
      <c r="G141" s="33"/>
      <c r="H141" s="33"/>
      <c r="I141" s="33"/>
      <c r="J141" s="33"/>
      <c r="L141" s="33"/>
      <c r="M141" s="33"/>
      <c r="N141" s="33"/>
      <c r="O141" s="33"/>
    </row>
    <row r="142" spans="2:15" ht="16.5">
      <c r="B142" s="4"/>
      <c r="E142" s="33"/>
      <c r="F142" s="34"/>
      <c r="G142" s="33"/>
      <c r="H142" s="33"/>
      <c r="I142" s="33"/>
      <c r="J142" s="33"/>
      <c r="L142" s="33"/>
      <c r="M142" s="33"/>
      <c r="N142" s="33"/>
      <c r="O142" s="33"/>
    </row>
    <row r="143" spans="2:15" ht="16.5">
      <c r="B143" s="4"/>
      <c r="E143" s="33"/>
      <c r="F143" s="34"/>
      <c r="G143" s="33"/>
      <c r="H143" s="33"/>
      <c r="I143" s="33"/>
      <c r="J143" s="33"/>
      <c r="L143" s="33"/>
      <c r="M143" s="33"/>
      <c r="N143" s="33"/>
      <c r="O143" s="33"/>
    </row>
    <row r="144" spans="2:15" ht="16.5">
      <c r="B144" s="4"/>
      <c r="E144" s="33"/>
      <c r="F144" s="34"/>
      <c r="G144" s="33"/>
      <c r="H144" s="33"/>
      <c r="I144" s="33"/>
      <c r="J144" s="33"/>
      <c r="L144" s="33"/>
      <c r="M144" s="33"/>
      <c r="N144" s="33"/>
      <c r="O144" s="33"/>
    </row>
    <row r="145" spans="2:15" ht="16.5">
      <c r="B145" s="4"/>
      <c r="E145" s="33"/>
      <c r="F145" s="34"/>
      <c r="G145" s="33"/>
      <c r="H145" s="33"/>
      <c r="I145" s="33"/>
      <c r="J145" s="33"/>
      <c r="L145" s="33"/>
      <c r="M145" s="33"/>
      <c r="N145" s="33"/>
      <c r="O145" s="33"/>
    </row>
    <row r="146" spans="2:15" ht="16.5">
      <c r="B146" s="4"/>
      <c r="E146" s="33"/>
      <c r="F146" s="34"/>
      <c r="G146" s="33"/>
      <c r="H146" s="33"/>
      <c r="I146" s="33"/>
      <c r="J146" s="33"/>
      <c r="L146" s="33"/>
      <c r="M146" s="33"/>
      <c r="N146" s="33"/>
      <c r="O146" s="33"/>
    </row>
    <row r="147" spans="2:15" ht="16.5">
      <c r="B147" s="4"/>
      <c r="E147" s="33"/>
      <c r="F147" s="34"/>
      <c r="G147" s="33"/>
      <c r="H147" s="33"/>
      <c r="I147" s="33"/>
      <c r="J147" s="33"/>
      <c r="L147" s="33"/>
      <c r="M147" s="33"/>
      <c r="N147" s="33"/>
      <c r="O147" s="33"/>
    </row>
    <row r="148" spans="2:15" ht="16.5">
      <c r="B148" s="4"/>
      <c r="E148" s="33"/>
      <c r="F148" s="34"/>
      <c r="G148" s="33"/>
      <c r="H148" s="33"/>
      <c r="I148" s="33"/>
      <c r="J148" s="33"/>
      <c r="L148" s="33"/>
      <c r="M148" s="33"/>
      <c r="N148" s="33"/>
      <c r="O148" s="33"/>
    </row>
    <row r="149" spans="2:15" ht="16.5">
      <c r="B149" s="4"/>
      <c r="E149" s="33"/>
      <c r="F149" s="34"/>
      <c r="G149" s="33"/>
      <c r="H149" s="33"/>
      <c r="I149" s="33"/>
      <c r="J149" s="33"/>
      <c r="L149" s="33"/>
      <c r="M149" s="33"/>
      <c r="N149" s="33"/>
      <c r="O149" s="33"/>
    </row>
    <row r="150" spans="2:15" ht="16.5">
      <c r="B150" s="4"/>
      <c r="E150" s="33"/>
      <c r="F150" s="34"/>
      <c r="G150" s="33"/>
      <c r="H150" s="33"/>
      <c r="I150" s="33"/>
      <c r="J150" s="33"/>
      <c r="L150" s="33"/>
      <c r="M150" s="33"/>
      <c r="N150" s="33"/>
      <c r="O150" s="33"/>
    </row>
    <row r="151" spans="2:15" ht="16.5">
      <c r="B151" s="4"/>
      <c r="E151" s="33"/>
      <c r="F151" s="34"/>
      <c r="G151" s="33"/>
      <c r="H151" s="33"/>
      <c r="I151" s="33"/>
      <c r="J151" s="33"/>
      <c r="L151" s="33"/>
      <c r="M151" s="33"/>
      <c r="N151" s="33"/>
      <c r="O151" s="33"/>
    </row>
    <row r="152" spans="2:15" ht="16.5">
      <c r="B152" s="4"/>
      <c r="E152" s="33"/>
      <c r="F152" s="34"/>
      <c r="G152" s="33"/>
      <c r="H152" s="33"/>
      <c r="I152" s="33"/>
      <c r="J152" s="33"/>
      <c r="L152" s="33"/>
      <c r="M152" s="33"/>
      <c r="N152" s="33"/>
      <c r="O152" s="33"/>
    </row>
    <row r="153" spans="2:15" ht="16.5">
      <c r="B153" s="4"/>
      <c r="E153" s="33"/>
      <c r="F153" s="34"/>
      <c r="G153" s="33"/>
      <c r="H153" s="33"/>
      <c r="I153" s="33"/>
      <c r="J153" s="33"/>
      <c r="L153" s="33"/>
      <c r="M153" s="33"/>
      <c r="N153" s="33"/>
      <c r="O153" s="33"/>
    </row>
    <row r="154" spans="2:15" ht="16.5">
      <c r="B154" s="4"/>
      <c r="E154" s="33"/>
      <c r="F154" s="34"/>
      <c r="G154" s="33"/>
      <c r="H154" s="33"/>
      <c r="I154" s="33"/>
      <c r="J154" s="33"/>
      <c r="L154" s="33"/>
      <c r="M154" s="33"/>
      <c r="N154" s="33"/>
      <c r="O154" s="33"/>
    </row>
    <row r="155" spans="2:15" ht="16.5">
      <c r="B155" s="4"/>
      <c r="E155" s="33"/>
      <c r="F155" s="34"/>
      <c r="G155" s="33"/>
      <c r="H155" s="33"/>
      <c r="I155" s="33"/>
      <c r="J155" s="33"/>
      <c r="L155" s="33"/>
      <c r="M155" s="33"/>
      <c r="N155" s="33"/>
      <c r="O155" s="33"/>
    </row>
    <row r="156" spans="2:15" ht="16.5">
      <c r="B156" s="4"/>
      <c r="E156" s="33"/>
      <c r="F156" s="34"/>
      <c r="G156" s="33"/>
      <c r="H156" s="33"/>
      <c r="I156" s="33"/>
      <c r="J156" s="33"/>
      <c r="L156" s="33"/>
      <c r="M156" s="33"/>
      <c r="N156" s="33"/>
      <c r="O156" s="33"/>
    </row>
    <row r="157" spans="2:15" ht="16.5">
      <c r="B157" s="4"/>
      <c r="E157" s="33"/>
      <c r="F157" s="34"/>
      <c r="G157" s="33"/>
      <c r="H157" s="33"/>
      <c r="I157" s="33"/>
      <c r="J157" s="33"/>
      <c r="L157" s="33"/>
      <c r="M157" s="33"/>
      <c r="N157" s="33"/>
      <c r="O157" s="33"/>
    </row>
    <row r="158" spans="2:15" ht="16.5">
      <c r="B158" s="4"/>
      <c r="E158" s="33"/>
      <c r="F158" s="34"/>
      <c r="G158" s="33"/>
      <c r="H158" s="33"/>
      <c r="I158" s="33"/>
      <c r="J158" s="33"/>
      <c r="L158" s="33"/>
      <c r="M158" s="33"/>
      <c r="N158" s="33"/>
      <c r="O158" s="33"/>
    </row>
    <row r="159" spans="2:15" ht="16.5">
      <c r="B159" s="4"/>
      <c r="E159" s="33"/>
      <c r="F159" s="34"/>
      <c r="G159" s="33"/>
      <c r="H159" s="33"/>
      <c r="I159" s="33"/>
      <c r="J159" s="33"/>
      <c r="L159" s="33"/>
      <c r="M159" s="33"/>
      <c r="N159" s="33"/>
      <c r="O159" s="33"/>
    </row>
    <row r="160" spans="2:15" ht="16.5">
      <c r="B160" s="4"/>
      <c r="E160" s="33"/>
      <c r="F160" s="34"/>
      <c r="G160" s="33"/>
      <c r="H160" s="33"/>
      <c r="I160" s="33"/>
      <c r="J160" s="33"/>
      <c r="L160" s="33"/>
      <c r="M160" s="33"/>
      <c r="N160" s="33"/>
      <c r="O160" s="33"/>
    </row>
    <row r="161" spans="2:15" ht="16.5">
      <c r="B161" s="4"/>
      <c r="E161" s="33"/>
      <c r="F161" s="34"/>
      <c r="G161" s="33"/>
      <c r="H161" s="33"/>
      <c r="I161" s="33"/>
      <c r="J161" s="33"/>
      <c r="L161" s="33"/>
      <c r="M161" s="33"/>
      <c r="N161" s="33"/>
      <c r="O161" s="33"/>
    </row>
    <row r="162" spans="2:15" ht="16.5">
      <c r="B162" s="4"/>
      <c r="E162" s="33"/>
      <c r="F162" s="34"/>
      <c r="G162" s="33"/>
      <c r="H162" s="33"/>
      <c r="I162" s="33"/>
      <c r="J162" s="33"/>
      <c r="L162" s="33"/>
      <c r="M162" s="33"/>
      <c r="N162" s="33"/>
      <c r="O162" s="33"/>
    </row>
    <row r="163" spans="5:15" ht="16.5">
      <c r="E163" s="33"/>
      <c r="F163" s="34"/>
      <c r="G163" s="33"/>
      <c r="H163" s="33"/>
      <c r="I163" s="33"/>
      <c r="J163" s="33"/>
      <c r="L163" s="33"/>
      <c r="M163" s="33"/>
      <c r="N163" s="33"/>
      <c r="O163" s="33"/>
    </row>
    <row r="164" spans="5:15" ht="16.5">
      <c r="E164" s="33"/>
      <c r="F164" s="34"/>
      <c r="G164" s="33"/>
      <c r="H164" s="33"/>
      <c r="I164" s="33"/>
      <c r="J164" s="33"/>
      <c r="L164" s="33"/>
      <c r="M164" s="33"/>
      <c r="N164" s="33"/>
      <c r="O164" s="33"/>
    </row>
    <row r="165" spans="5:15" ht="16.5">
      <c r="E165" s="33"/>
      <c r="F165" s="34"/>
      <c r="G165" s="33"/>
      <c r="H165" s="33"/>
      <c r="I165" s="33"/>
      <c r="J165" s="33"/>
      <c r="L165" s="33"/>
      <c r="M165" s="33"/>
      <c r="N165" s="33"/>
      <c r="O165" s="33"/>
    </row>
    <row r="166" spans="5:15" ht="16.5">
      <c r="E166" s="33"/>
      <c r="F166" s="34"/>
      <c r="G166" s="33"/>
      <c r="H166" s="33"/>
      <c r="I166" s="33"/>
      <c r="J166" s="33"/>
      <c r="L166" s="33"/>
      <c r="M166" s="33"/>
      <c r="N166" s="33"/>
      <c r="O166" s="33"/>
    </row>
    <row r="167" spans="5:15" ht="16.5">
      <c r="E167" s="33"/>
      <c r="F167" s="34"/>
      <c r="G167" s="33"/>
      <c r="H167" s="33"/>
      <c r="I167" s="33"/>
      <c r="J167" s="33"/>
      <c r="L167" s="33"/>
      <c r="M167" s="33"/>
      <c r="N167" s="33"/>
      <c r="O167" s="33"/>
    </row>
    <row r="168" spans="5:15" ht="16.5">
      <c r="E168" s="33"/>
      <c r="F168" s="34"/>
      <c r="G168" s="33"/>
      <c r="H168" s="33"/>
      <c r="I168" s="33"/>
      <c r="J168" s="33"/>
      <c r="L168" s="33"/>
      <c r="M168" s="33"/>
      <c r="N168" s="33"/>
      <c r="O168" s="33"/>
    </row>
    <row r="169" spans="5:15" ht="16.5">
      <c r="E169" s="33"/>
      <c r="F169" s="34"/>
      <c r="G169" s="33"/>
      <c r="H169" s="33"/>
      <c r="I169" s="33"/>
      <c r="J169" s="33"/>
      <c r="L169" s="33"/>
      <c r="M169" s="33"/>
      <c r="N169" s="33"/>
      <c r="O169" s="33"/>
    </row>
    <row r="170" spans="5:15" ht="16.5">
      <c r="E170" s="33"/>
      <c r="F170" s="34"/>
      <c r="G170" s="33"/>
      <c r="H170" s="33"/>
      <c r="I170" s="33"/>
      <c r="J170" s="33"/>
      <c r="L170" s="33"/>
      <c r="M170" s="33"/>
      <c r="N170" s="33"/>
      <c r="O170" s="33"/>
    </row>
    <row r="171" spans="5:15" ht="16.5">
      <c r="E171" s="33"/>
      <c r="F171" s="34"/>
      <c r="G171" s="33"/>
      <c r="H171" s="33"/>
      <c r="I171" s="33"/>
      <c r="J171" s="33"/>
      <c r="L171" s="33"/>
      <c r="M171" s="33"/>
      <c r="N171" s="33"/>
      <c r="O171" s="33"/>
    </row>
    <row r="172" spans="5:15" ht="16.5">
      <c r="E172" s="33"/>
      <c r="F172" s="34"/>
      <c r="G172" s="33"/>
      <c r="H172" s="33"/>
      <c r="I172" s="33"/>
      <c r="J172" s="33"/>
      <c r="L172" s="33"/>
      <c r="M172" s="33"/>
      <c r="N172" s="33"/>
      <c r="O172" s="33"/>
    </row>
    <row r="173" spans="5:15" ht="16.5">
      <c r="E173" s="33"/>
      <c r="F173" s="34"/>
      <c r="G173" s="33"/>
      <c r="H173" s="33"/>
      <c r="I173" s="33"/>
      <c r="J173" s="33"/>
      <c r="L173" s="33"/>
      <c r="M173" s="33"/>
      <c r="N173" s="33"/>
      <c r="O173" s="33"/>
    </row>
    <row r="174" spans="5:15" ht="16.5">
      <c r="E174" s="33"/>
      <c r="F174" s="34"/>
      <c r="G174" s="33"/>
      <c r="H174" s="33"/>
      <c r="I174" s="33"/>
      <c r="J174" s="33"/>
      <c r="L174" s="33"/>
      <c r="M174" s="33"/>
      <c r="N174" s="33"/>
      <c r="O174" s="33"/>
    </row>
    <row r="175" spans="5:15" ht="16.5">
      <c r="E175" s="33"/>
      <c r="F175" s="34"/>
      <c r="G175" s="33"/>
      <c r="H175" s="33"/>
      <c r="I175" s="33"/>
      <c r="J175" s="33"/>
      <c r="L175" s="33"/>
      <c r="M175" s="33"/>
      <c r="N175" s="33"/>
      <c r="O175" s="33"/>
    </row>
    <row r="176" spans="5:15" ht="16.5">
      <c r="E176" s="33"/>
      <c r="F176" s="34"/>
      <c r="G176" s="33"/>
      <c r="H176" s="33"/>
      <c r="I176" s="33"/>
      <c r="J176" s="33"/>
      <c r="L176" s="33"/>
      <c r="M176" s="33"/>
      <c r="N176" s="33"/>
      <c r="O176" s="33"/>
    </row>
    <row r="177" spans="5:15" ht="16.5">
      <c r="E177" s="33"/>
      <c r="F177" s="34"/>
      <c r="G177" s="33"/>
      <c r="H177" s="33"/>
      <c r="I177" s="33"/>
      <c r="J177" s="33"/>
      <c r="L177" s="33"/>
      <c r="M177" s="33"/>
      <c r="N177" s="33"/>
      <c r="O177" s="33"/>
    </row>
    <row r="178" spans="5:15" ht="16.5">
      <c r="E178" s="33"/>
      <c r="F178" s="34"/>
      <c r="G178" s="33"/>
      <c r="H178" s="33"/>
      <c r="I178" s="33"/>
      <c r="J178" s="33"/>
      <c r="L178" s="33"/>
      <c r="M178" s="33"/>
      <c r="N178" s="33"/>
      <c r="O178" s="33"/>
    </row>
    <row r="179" spans="5:15" ht="16.5">
      <c r="E179" s="33"/>
      <c r="F179" s="34"/>
      <c r="G179" s="33"/>
      <c r="H179" s="33"/>
      <c r="I179" s="33"/>
      <c r="J179" s="33"/>
      <c r="L179" s="33"/>
      <c r="M179" s="33"/>
      <c r="N179" s="33"/>
      <c r="O179" s="33"/>
    </row>
    <row r="180" spans="5:15" ht="16.5">
      <c r="E180" s="33"/>
      <c r="F180" s="34"/>
      <c r="G180" s="33"/>
      <c r="H180" s="33"/>
      <c r="I180" s="33"/>
      <c r="J180" s="33"/>
      <c r="L180" s="33"/>
      <c r="M180" s="33"/>
      <c r="N180" s="33"/>
      <c r="O180" s="33"/>
    </row>
    <row r="181" spans="5:15" ht="16.5">
      <c r="E181" s="33"/>
      <c r="F181" s="34"/>
      <c r="G181" s="33"/>
      <c r="H181" s="33"/>
      <c r="I181" s="33"/>
      <c r="J181" s="33"/>
      <c r="L181" s="33"/>
      <c r="M181" s="33"/>
      <c r="N181" s="33"/>
      <c r="O181" s="33"/>
    </row>
    <row r="182" spans="5:15" ht="16.5">
      <c r="E182" s="33"/>
      <c r="F182" s="34"/>
      <c r="G182" s="33"/>
      <c r="H182" s="33"/>
      <c r="I182" s="33"/>
      <c r="J182" s="33"/>
      <c r="L182" s="33"/>
      <c r="M182" s="33"/>
      <c r="N182" s="33"/>
      <c r="O182" s="33"/>
    </row>
    <row r="183" spans="5:15" ht="16.5">
      <c r="E183" s="33"/>
      <c r="F183" s="34"/>
      <c r="G183" s="33"/>
      <c r="H183" s="33"/>
      <c r="I183" s="33"/>
      <c r="J183" s="33"/>
      <c r="L183" s="33"/>
      <c r="M183" s="33"/>
      <c r="N183" s="33"/>
      <c r="O183" s="33"/>
    </row>
    <row r="184" spans="5:15" ht="16.5">
      <c r="E184" s="33"/>
      <c r="F184" s="34"/>
      <c r="G184" s="33"/>
      <c r="H184" s="33"/>
      <c r="I184" s="33"/>
      <c r="J184" s="33"/>
      <c r="L184" s="33"/>
      <c r="M184" s="33"/>
      <c r="N184" s="33"/>
      <c r="O184" s="33"/>
    </row>
    <row r="185" spans="5:15" ht="16.5">
      <c r="E185" s="33"/>
      <c r="F185" s="34"/>
      <c r="G185" s="33"/>
      <c r="H185" s="33"/>
      <c r="I185" s="33"/>
      <c r="J185" s="33"/>
      <c r="L185" s="33"/>
      <c r="M185" s="33"/>
      <c r="N185" s="33"/>
      <c r="O185" s="33"/>
    </row>
    <row r="186" spans="5:15" ht="16.5">
      <c r="E186" s="33"/>
      <c r="F186" s="34"/>
      <c r="G186" s="33"/>
      <c r="H186" s="33"/>
      <c r="I186" s="33"/>
      <c r="J186" s="33"/>
      <c r="L186" s="33"/>
      <c r="M186" s="33"/>
      <c r="N186" s="33"/>
      <c r="O186" s="33"/>
    </row>
    <row r="187" spans="5:15" ht="16.5">
      <c r="E187" s="33"/>
      <c r="F187" s="34"/>
      <c r="G187" s="33"/>
      <c r="H187" s="33"/>
      <c r="I187" s="33"/>
      <c r="J187" s="33"/>
      <c r="L187" s="33"/>
      <c r="M187" s="33"/>
      <c r="N187" s="33"/>
      <c r="O187" s="33"/>
    </row>
    <row r="188" spans="5:15" ht="16.5">
      <c r="E188" s="33"/>
      <c r="F188" s="34"/>
      <c r="G188" s="33"/>
      <c r="H188" s="33"/>
      <c r="I188" s="33"/>
      <c r="J188" s="33"/>
      <c r="L188" s="33"/>
      <c r="M188" s="33"/>
      <c r="N188" s="33"/>
      <c r="O188" s="33"/>
    </row>
    <row r="189" spans="5:15" ht="16.5">
      <c r="E189" s="33"/>
      <c r="F189" s="34"/>
      <c r="G189" s="33"/>
      <c r="H189" s="33"/>
      <c r="I189" s="33"/>
      <c r="J189" s="33"/>
      <c r="L189" s="33"/>
      <c r="M189" s="33"/>
      <c r="N189" s="33"/>
      <c r="O189" s="33"/>
    </row>
    <row r="190" spans="5:15" ht="16.5">
      <c r="E190" s="33"/>
      <c r="F190" s="34"/>
      <c r="G190" s="33"/>
      <c r="H190" s="33"/>
      <c r="I190" s="33"/>
      <c r="J190" s="33"/>
      <c r="L190" s="33"/>
      <c r="M190" s="33"/>
      <c r="N190" s="33"/>
      <c r="O190" s="33"/>
    </row>
    <row r="191" spans="5:15" ht="16.5">
      <c r="E191" s="33"/>
      <c r="F191" s="34"/>
      <c r="G191" s="33"/>
      <c r="H191" s="33"/>
      <c r="I191" s="33"/>
      <c r="J191" s="33"/>
      <c r="L191" s="33"/>
      <c r="M191" s="33"/>
      <c r="N191" s="33"/>
      <c r="O191" s="33"/>
    </row>
    <row r="192" spans="5:15" ht="16.5">
      <c r="E192" s="33"/>
      <c r="F192" s="34"/>
      <c r="G192" s="33"/>
      <c r="H192" s="33"/>
      <c r="I192" s="33"/>
      <c r="J192" s="33"/>
      <c r="L192" s="33"/>
      <c r="M192" s="33"/>
      <c r="N192" s="33"/>
      <c r="O192" s="33"/>
    </row>
    <row r="193" spans="5:15" ht="16.5">
      <c r="E193" s="33"/>
      <c r="F193" s="34"/>
      <c r="G193" s="33"/>
      <c r="H193" s="33"/>
      <c r="I193" s="33"/>
      <c r="J193" s="33"/>
      <c r="L193" s="33"/>
      <c r="M193" s="33"/>
      <c r="N193" s="33"/>
      <c r="O193" s="33"/>
    </row>
    <row r="194" spans="5:15" ht="16.5">
      <c r="E194" s="33"/>
      <c r="F194" s="34"/>
      <c r="G194" s="33"/>
      <c r="H194" s="33"/>
      <c r="I194" s="33"/>
      <c r="J194" s="33"/>
      <c r="L194" s="33"/>
      <c r="M194" s="33"/>
      <c r="N194" s="33"/>
      <c r="O194" s="33"/>
    </row>
    <row r="195" spans="5:15" ht="16.5">
      <c r="E195" s="33"/>
      <c r="F195" s="34"/>
      <c r="G195" s="33"/>
      <c r="H195" s="33"/>
      <c r="I195" s="33"/>
      <c r="J195" s="33"/>
      <c r="L195" s="33"/>
      <c r="M195" s="33"/>
      <c r="N195" s="33"/>
      <c r="O195" s="33"/>
    </row>
    <row r="196" spans="5:15" ht="16.5">
      <c r="E196" s="33"/>
      <c r="F196" s="34"/>
      <c r="G196" s="33"/>
      <c r="H196" s="33"/>
      <c r="I196" s="33"/>
      <c r="J196" s="33"/>
      <c r="L196" s="33"/>
      <c r="M196" s="33"/>
      <c r="N196" s="33"/>
      <c r="O196" s="33"/>
    </row>
    <row r="197" spans="5:15" ht="16.5">
      <c r="E197" s="33"/>
      <c r="F197" s="34"/>
      <c r="G197" s="33"/>
      <c r="H197" s="33"/>
      <c r="I197" s="33"/>
      <c r="J197" s="33"/>
      <c r="L197" s="33"/>
      <c r="M197" s="33"/>
      <c r="N197" s="33"/>
      <c r="O197" s="33"/>
    </row>
    <row r="198" spans="5:15" ht="16.5">
      <c r="E198" s="33"/>
      <c r="F198" s="34"/>
      <c r="G198" s="33"/>
      <c r="H198" s="33"/>
      <c r="I198" s="33"/>
      <c r="J198" s="33"/>
      <c r="L198" s="33"/>
      <c r="M198" s="33"/>
      <c r="N198" s="33"/>
      <c r="O198" s="33"/>
    </row>
    <row r="199" spans="5:15" ht="16.5">
      <c r="E199" s="33"/>
      <c r="F199" s="34"/>
      <c r="G199" s="33"/>
      <c r="H199" s="33"/>
      <c r="I199" s="33"/>
      <c r="J199" s="33"/>
      <c r="L199" s="33"/>
      <c r="M199" s="33"/>
      <c r="N199" s="33"/>
      <c r="O199" s="33"/>
    </row>
    <row r="200" spans="5:15" ht="16.5">
      <c r="E200" s="33"/>
      <c r="F200" s="34"/>
      <c r="G200" s="33"/>
      <c r="H200" s="33"/>
      <c r="I200" s="33"/>
      <c r="J200" s="33"/>
      <c r="L200" s="33"/>
      <c r="M200" s="33"/>
      <c r="N200" s="33"/>
      <c r="O200" s="33"/>
    </row>
    <row r="201" spans="5:15" ht="16.5">
      <c r="E201" s="33"/>
      <c r="F201" s="34"/>
      <c r="G201" s="33"/>
      <c r="H201" s="33"/>
      <c r="I201" s="33"/>
      <c r="J201" s="33"/>
      <c r="L201" s="33"/>
      <c r="M201" s="33"/>
      <c r="N201" s="33"/>
      <c r="O201" s="33"/>
    </row>
    <row r="202" spans="5:15" ht="16.5">
      <c r="E202" s="33"/>
      <c r="F202" s="34"/>
      <c r="G202" s="33"/>
      <c r="H202" s="33"/>
      <c r="I202" s="33"/>
      <c r="J202" s="33"/>
      <c r="L202" s="33"/>
      <c r="M202" s="33"/>
      <c r="N202" s="33"/>
      <c r="O202" s="33"/>
    </row>
    <row r="203" spans="5:15" ht="16.5">
      <c r="E203" s="33"/>
      <c r="F203" s="34"/>
      <c r="G203" s="33"/>
      <c r="H203" s="33"/>
      <c r="I203" s="33"/>
      <c r="J203" s="33"/>
      <c r="L203" s="33"/>
      <c r="M203" s="33"/>
      <c r="N203" s="33"/>
      <c r="O203" s="33"/>
    </row>
    <row r="204" spans="5:15" ht="16.5">
      <c r="E204" s="33"/>
      <c r="F204" s="34"/>
      <c r="G204" s="33"/>
      <c r="H204" s="33"/>
      <c r="I204" s="33"/>
      <c r="J204" s="33"/>
      <c r="L204" s="33"/>
      <c r="M204" s="33"/>
      <c r="N204" s="33"/>
      <c r="O204" s="33"/>
    </row>
    <row r="205" spans="5:15" ht="16.5">
      <c r="E205" s="33"/>
      <c r="F205" s="34"/>
      <c r="G205" s="33"/>
      <c r="H205" s="33"/>
      <c r="I205" s="33"/>
      <c r="J205" s="33"/>
      <c r="L205" s="33"/>
      <c r="M205" s="33"/>
      <c r="N205" s="33"/>
      <c r="O205" s="33"/>
    </row>
    <row r="206" spans="5:15" ht="16.5">
      <c r="E206" s="33"/>
      <c r="F206" s="34"/>
      <c r="G206" s="33"/>
      <c r="H206" s="33"/>
      <c r="I206" s="33"/>
      <c r="J206" s="33"/>
      <c r="L206" s="33"/>
      <c r="M206" s="33"/>
      <c r="N206" s="33"/>
      <c r="O206" s="33"/>
    </row>
    <row r="207" spans="5:15" ht="16.5">
      <c r="E207" s="33"/>
      <c r="F207" s="34"/>
      <c r="G207" s="33"/>
      <c r="H207" s="33"/>
      <c r="I207" s="33"/>
      <c r="J207" s="33"/>
      <c r="L207" s="33"/>
      <c r="M207" s="33"/>
      <c r="N207" s="33"/>
      <c r="O207" s="33"/>
    </row>
    <row r="208" spans="5:15" ht="16.5">
      <c r="E208" s="33"/>
      <c r="F208" s="34"/>
      <c r="G208" s="33"/>
      <c r="H208" s="33"/>
      <c r="I208" s="33"/>
      <c r="J208" s="33"/>
      <c r="L208" s="33"/>
      <c r="M208" s="33"/>
      <c r="N208" s="33"/>
      <c r="O208" s="33"/>
    </row>
    <row r="209" spans="5:15" ht="16.5">
      <c r="E209" s="33"/>
      <c r="F209" s="34"/>
      <c r="G209" s="33"/>
      <c r="H209" s="33"/>
      <c r="I209" s="33"/>
      <c r="J209" s="33"/>
      <c r="L209" s="33"/>
      <c r="M209" s="33"/>
      <c r="N209" s="33"/>
      <c r="O209" s="33"/>
    </row>
    <row r="210" spans="5:15" ht="16.5">
      <c r="E210" s="33"/>
      <c r="F210" s="34"/>
      <c r="G210" s="33"/>
      <c r="H210" s="33"/>
      <c r="I210" s="33"/>
      <c r="J210" s="33"/>
      <c r="L210" s="33"/>
      <c r="M210" s="33"/>
      <c r="N210" s="33"/>
      <c r="O210" s="33"/>
    </row>
    <row r="211" spans="5:15" ht="16.5">
      <c r="E211" s="33"/>
      <c r="F211" s="34"/>
      <c r="G211" s="33"/>
      <c r="H211" s="33"/>
      <c r="I211" s="33"/>
      <c r="J211" s="33"/>
      <c r="L211" s="33"/>
      <c r="M211" s="33"/>
      <c r="N211" s="33"/>
      <c r="O211" s="33"/>
    </row>
    <row r="212" spans="5:15" ht="16.5">
      <c r="E212" s="33"/>
      <c r="F212" s="34"/>
      <c r="G212" s="33"/>
      <c r="H212" s="33"/>
      <c r="I212" s="33"/>
      <c r="J212" s="33"/>
      <c r="L212" s="33"/>
      <c r="M212" s="33"/>
      <c r="N212" s="33"/>
      <c r="O212" s="33"/>
    </row>
    <row r="213" spans="5:15" ht="16.5">
      <c r="E213" s="33"/>
      <c r="F213" s="34"/>
      <c r="G213" s="33"/>
      <c r="H213" s="33"/>
      <c r="I213" s="33"/>
      <c r="J213" s="33"/>
      <c r="L213" s="33"/>
      <c r="M213" s="33"/>
      <c r="N213" s="33"/>
      <c r="O213" s="33"/>
    </row>
    <row r="214" spans="5:15" ht="16.5">
      <c r="E214" s="33"/>
      <c r="F214" s="34"/>
      <c r="G214" s="33"/>
      <c r="H214" s="33"/>
      <c r="I214" s="33"/>
      <c r="J214" s="33"/>
      <c r="L214" s="33"/>
      <c r="M214" s="33"/>
      <c r="N214" s="33"/>
      <c r="O214" s="33"/>
    </row>
    <row r="215" spans="5:15" ht="16.5">
      <c r="E215" s="33"/>
      <c r="F215" s="34"/>
      <c r="G215" s="33"/>
      <c r="H215" s="33"/>
      <c r="I215" s="33"/>
      <c r="J215" s="33"/>
      <c r="L215" s="33"/>
      <c r="M215" s="33"/>
      <c r="N215" s="33"/>
      <c r="O215" s="33"/>
    </row>
    <row r="216" spans="5:15" ht="16.5">
      <c r="E216" s="33"/>
      <c r="F216" s="34"/>
      <c r="G216" s="33"/>
      <c r="H216" s="33"/>
      <c r="I216" s="33"/>
      <c r="J216" s="33"/>
      <c r="L216" s="33"/>
      <c r="M216" s="33"/>
      <c r="N216" s="33"/>
      <c r="O216" s="33"/>
    </row>
    <row r="217" spans="5:15" ht="16.5">
      <c r="E217" s="33"/>
      <c r="F217" s="34"/>
      <c r="G217" s="33"/>
      <c r="H217" s="33"/>
      <c r="I217" s="33"/>
      <c r="J217" s="33"/>
      <c r="L217" s="33"/>
      <c r="M217" s="33"/>
      <c r="N217" s="33"/>
      <c r="O217" s="33"/>
    </row>
    <row r="218" spans="5:15" ht="16.5">
      <c r="E218" s="33"/>
      <c r="F218" s="34"/>
      <c r="G218" s="33"/>
      <c r="H218" s="33"/>
      <c r="I218" s="33"/>
      <c r="J218" s="33"/>
      <c r="L218" s="33"/>
      <c r="M218" s="33"/>
      <c r="N218" s="33"/>
      <c r="O218" s="33"/>
    </row>
    <row r="219" spans="5:15" ht="16.5">
      <c r="E219" s="33"/>
      <c r="F219" s="34"/>
      <c r="G219" s="33"/>
      <c r="H219" s="33"/>
      <c r="I219" s="33"/>
      <c r="J219" s="33"/>
      <c r="L219" s="33"/>
      <c r="M219" s="33"/>
      <c r="N219" s="33"/>
      <c r="O219" s="33"/>
    </row>
    <row r="220" spans="5:15" ht="16.5">
      <c r="E220" s="33"/>
      <c r="F220" s="34"/>
      <c r="G220" s="33"/>
      <c r="H220" s="33"/>
      <c r="I220" s="33"/>
      <c r="J220" s="33"/>
      <c r="L220" s="33"/>
      <c r="M220" s="33"/>
      <c r="N220" s="33"/>
      <c r="O220" s="33"/>
    </row>
    <row r="221" spans="5:15" ht="16.5">
      <c r="E221" s="33"/>
      <c r="F221" s="34"/>
      <c r="G221" s="33"/>
      <c r="H221" s="33"/>
      <c r="I221" s="33"/>
      <c r="J221" s="33"/>
      <c r="L221" s="33"/>
      <c r="M221" s="33"/>
      <c r="N221" s="33"/>
      <c r="O221" s="33"/>
    </row>
    <row r="222" spans="5:15" ht="16.5">
      <c r="E222" s="33"/>
      <c r="F222" s="34"/>
      <c r="G222" s="33"/>
      <c r="H222" s="33"/>
      <c r="I222" s="33"/>
      <c r="J222" s="33"/>
      <c r="L222" s="33"/>
      <c r="M222" s="33"/>
      <c r="N222" s="33"/>
      <c r="O222" s="33"/>
    </row>
    <row r="223" spans="5:15" ht="16.5">
      <c r="E223" s="33"/>
      <c r="F223" s="34"/>
      <c r="G223" s="33"/>
      <c r="H223" s="33"/>
      <c r="I223" s="33"/>
      <c r="J223" s="33"/>
      <c r="L223" s="33"/>
      <c r="M223" s="33"/>
      <c r="N223" s="33"/>
      <c r="O223" s="33"/>
    </row>
    <row r="224" spans="5:15" ht="16.5">
      <c r="E224" s="33"/>
      <c r="F224" s="34"/>
      <c r="G224" s="33"/>
      <c r="H224" s="33"/>
      <c r="I224" s="33"/>
      <c r="J224" s="33"/>
      <c r="L224" s="33"/>
      <c r="M224" s="33"/>
      <c r="N224" s="33"/>
      <c r="O224" s="33"/>
    </row>
    <row r="225" spans="5:15" ht="16.5">
      <c r="E225" s="33"/>
      <c r="F225" s="34"/>
      <c r="G225" s="33"/>
      <c r="H225" s="33"/>
      <c r="I225" s="33"/>
      <c r="J225" s="33"/>
      <c r="L225" s="33"/>
      <c r="M225" s="33"/>
      <c r="N225" s="33"/>
      <c r="O225" s="33"/>
    </row>
    <row r="226" spans="5:15" ht="16.5">
      <c r="E226" s="33"/>
      <c r="F226" s="34"/>
      <c r="G226" s="33"/>
      <c r="H226" s="33"/>
      <c r="I226" s="33"/>
      <c r="J226" s="33"/>
      <c r="L226" s="33"/>
      <c r="M226" s="33"/>
      <c r="N226" s="33"/>
      <c r="O226" s="33"/>
    </row>
    <row r="227" spans="5:15" ht="16.5">
      <c r="E227" s="33"/>
      <c r="F227" s="34"/>
      <c r="G227" s="33"/>
      <c r="H227" s="33"/>
      <c r="I227" s="33"/>
      <c r="J227" s="33"/>
      <c r="L227" s="33"/>
      <c r="M227" s="33"/>
      <c r="N227" s="33"/>
      <c r="O227" s="33"/>
    </row>
    <row r="228" spans="5:15" ht="16.5">
      <c r="E228" s="33"/>
      <c r="F228" s="34"/>
      <c r="G228" s="33"/>
      <c r="H228" s="33"/>
      <c r="I228" s="33"/>
      <c r="J228" s="33"/>
      <c r="L228" s="33"/>
      <c r="M228" s="33"/>
      <c r="N228" s="33"/>
      <c r="O228" s="33"/>
    </row>
    <row r="229" spans="5:15" ht="16.5">
      <c r="E229" s="33"/>
      <c r="F229" s="34"/>
      <c r="G229" s="33"/>
      <c r="H229" s="33"/>
      <c r="I229" s="33"/>
      <c r="J229" s="33"/>
      <c r="L229" s="33"/>
      <c r="M229" s="33"/>
      <c r="N229" s="33"/>
      <c r="O229" s="33"/>
    </row>
    <row r="230" spans="5:15" ht="16.5">
      <c r="E230" s="33"/>
      <c r="F230" s="34"/>
      <c r="G230" s="33"/>
      <c r="H230" s="33"/>
      <c r="I230" s="33"/>
      <c r="J230" s="33"/>
      <c r="L230" s="33"/>
      <c r="M230" s="33"/>
      <c r="N230" s="33"/>
      <c r="O230" s="33"/>
    </row>
    <row r="231" spans="5:15" ht="16.5">
      <c r="E231" s="33"/>
      <c r="F231" s="34"/>
      <c r="G231" s="33"/>
      <c r="H231" s="33"/>
      <c r="I231" s="33"/>
      <c r="J231" s="33"/>
      <c r="L231" s="33"/>
      <c r="M231" s="33"/>
      <c r="N231" s="33"/>
      <c r="O231" s="33"/>
    </row>
    <row r="232" spans="5:15" ht="16.5">
      <c r="E232" s="33"/>
      <c r="F232" s="34"/>
      <c r="G232" s="33"/>
      <c r="H232" s="33"/>
      <c r="I232" s="33"/>
      <c r="J232" s="33"/>
      <c r="L232" s="33"/>
      <c r="M232" s="33"/>
      <c r="N232" s="33"/>
      <c r="O232" s="33"/>
    </row>
    <row r="233" spans="5:15" ht="16.5">
      <c r="E233" s="33"/>
      <c r="F233" s="34"/>
      <c r="G233" s="33"/>
      <c r="H233" s="33"/>
      <c r="I233" s="33"/>
      <c r="J233" s="33"/>
      <c r="L233" s="33"/>
      <c r="M233" s="33"/>
      <c r="N233" s="33"/>
      <c r="O233" s="33"/>
    </row>
    <row r="234" spans="5:15" ht="16.5">
      <c r="E234" s="33"/>
      <c r="F234" s="34"/>
      <c r="G234" s="33"/>
      <c r="H234" s="33"/>
      <c r="I234" s="33"/>
      <c r="J234" s="33"/>
      <c r="L234" s="33"/>
      <c r="M234" s="33"/>
      <c r="N234" s="33"/>
      <c r="O234" s="33"/>
    </row>
    <row r="235" spans="5:15" ht="16.5">
      <c r="E235" s="33"/>
      <c r="F235" s="34"/>
      <c r="G235" s="33"/>
      <c r="H235" s="33"/>
      <c r="I235" s="33"/>
      <c r="J235" s="33"/>
      <c r="L235" s="33"/>
      <c r="M235" s="33"/>
      <c r="N235" s="33"/>
      <c r="O235" s="33"/>
    </row>
    <row r="236" spans="5:15" ht="16.5">
      <c r="E236" s="33"/>
      <c r="F236" s="34"/>
      <c r="G236" s="33"/>
      <c r="H236" s="33"/>
      <c r="I236" s="33"/>
      <c r="J236" s="33"/>
      <c r="L236" s="33"/>
      <c r="M236" s="33"/>
      <c r="N236" s="33"/>
      <c r="O236" s="33"/>
    </row>
    <row r="237" spans="5:15" ht="16.5">
      <c r="E237" s="33"/>
      <c r="F237" s="34"/>
      <c r="G237" s="33"/>
      <c r="H237" s="33"/>
      <c r="I237" s="33"/>
      <c r="J237" s="33"/>
      <c r="L237" s="33"/>
      <c r="M237" s="33"/>
      <c r="N237" s="33"/>
      <c r="O237" s="33"/>
    </row>
    <row r="238" spans="5:15" ht="16.5">
      <c r="E238" s="33"/>
      <c r="F238" s="34"/>
      <c r="G238" s="33"/>
      <c r="H238" s="33"/>
      <c r="I238" s="33"/>
      <c r="J238" s="33"/>
      <c r="L238" s="33"/>
      <c r="M238" s="33"/>
      <c r="N238" s="33"/>
      <c r="O238" s="33"/>
    </row>
    <row r="239" spans="5:15" ht="16.5">
      <c r="E239" s="33"/>
      <c r="F239" s="34"/>
      <c r="G239" s="33"/>
      <c r="H239" s="33"/>
      <c r="I239" s="33"/>
      <c r="J239" s="33"/>
      <c r="L239" s="33"/>
      <c r="M239" s="33"/>
      <c r="N239" s="33"/>
      <c r="O239" s="33"/>
    </row>
    <row r="240" spans="5:15" ht="16.5">
      <c r="E240" s="33"/>
      <c r="F240" s="34"/>
      <c r="G240" s="33"/>
      <c r="H240" s="33"/>
      <c r="I240" s="33"/>
      <c r="J240" s="33"/>
      <c r="L240" s="33"/>
      <c r="M240" s="33"/>
      <c r="N240" s="33"/>
      <c r="O240" s="33"/>
    </row>
    <row r="241" spans="5:15" ht="16.5">
      <c r="E241" s="33"/>
      <c r="F241" s="34"/>
      <c r="G241" s="33"/>
      <c r="H241" s="33"/>
      <c r="I241" s="33"/>
      <c r="J241" s="33"/>
      <c r="L241" s="33"/>
      <c r="M241" s="33"/>
      <c r="N241" s="33"/>
      <c r="O241" s="33"/>
    </row>
    <row r="242" spans="5:15" ht="16.5">
      <c r="E242" s="33"/>
      <c r="F242" s="34"/>
      <c r="G242" s="33"/>
      <c r="H242" s="33"/>
      <c r="I242" s="33"/>
      <c r="J242" s="33"/>
      <c r="L242" s="33"/>
      <c r="M242" s="33"/>
      <c r="N242" s="33"/>
      <c r="O242" s="33"/>
    </row>
    <row r="243" spans="5:15" ht="16.5">
      <c r="E243" s="33"/>
      <c r="F243" s="34"/>
      <c r="G243" s="33"/>
      <c r="H243" s="33"/>
      <c r="I243" s="33"/>
      <c r="J243" s="33"/>
      <c r="L243" s="33"/>
      <c r="M243" s="33"/>
      <c r="N243" s="33"/>
      <c r="O243" s="33"/>
    </row>
    <row r="244" spans="5:15" ht="16.5">
      <c r="E244" s="33"/>
      <c r="F244" s="34"/>
      <c r="G244" s="33"/>
      <c r="H244" s="33"/>
      <c r="I244" s="33"/>
      <c r="J244" s="33"/>
      <c r="L244" s="33"/>
      <c r="M244" s="33"/>
      <c r="N244" s="33"/>
      <c r="O244" s="33"/>
    </row>
    <row r="245" spans="5:15" ht="16.5">
      <c r="E245" s="33"/>
      <c r="F245" s="34"/>
      <c r="G245" s="33"/>
      <c r="H245" s="33"/>
      <c r="I245" s="33"/>
      <c r="J245" s="33"/>
      <c r="L245" s="33"/>
      <c r="M245" s="33"/>
      <c r="N245" s="33"/>
      <c r="O245" s="33"/>
    </row>
    <row r="246" spans="5:15" ht="16.5">
      <c r="E246" s="33"/>
      <c r="F246" s="34"/>
      <c r="G246" s="33"/>
      <c r="H246" s="33"/>
      <c r="I246" s="33"/>
      <c r="J246" s="33"/>
      <c r="L246" s="33"/>
      <c r="M246" s="33"/>
      <c r="N246" s="33"/>
      <c r="O246" s="33"/>
    </row>
    <row r="247" spans="5:15" ht="16.5">
      <c r="E247" s="33"/>
      <c r="F247" s="34"/>
      <c r="G247" s="33"/>
      <c r="H247" s="33"/>
      <c r="I247" s="33"/>
      <c r="J247" s="33"/>
      <c r="L247" s="33"/>
      <c r="M247" s="33"/>
      <c r="N247" s="33"/>
      <c r="O247" s="33"/>
    </row>
    <row r="248" spans="5:15" ht="16.5">
      <c r="E248" s="33"/>
      <c r="F248" s="34"/>
      <c r="G248" s="33"/>
      <c r="H248" s="33"/>
      <c r="I248" s="33"/>
      <c r="J248" s="33"/>
      <c r="L248" s="33"/>
      <c r="M248" s="33"/>
      <c r="N248" s="33"/>
      <c r="O248" s="33"/>
    </row>
    <row r="249" spans="5:15" ht="16.5">
      <c r="E249" s="33"/>
      <c r="F249" s="34"/>
      <c r="G249" s="33"/>
      <c r="H249" s="33"/>
      <c r="I249" s="33"/>
      <c r="J249" s="33"/>
      <c r="L249" s="33"/>
      <c r="M249" s="33"/>
      <c r="N249" s="33"/>
      <c r="O249" s="33"/>
    </row>
    <row r="250" spans="5:15" ht="16.5">
      <c r="E250" s="33"/>
      <c r="F250" s="34"/>
      <c r="G250" s="33"/>
      <c r="H250" s="33"/>
      <c r="I250" s="33"/>
      <c r="J250" s="33"/>
      <c r="L250" s="33"/>
      <c r="M250" s="33"/>
      <c r="N250" s="33"/>
      <c r="O250" s="33"/>
    </row>
    <row r="251" spans="5:15" ht="16.5">
      <c r="E251" s="33"/>
      <c r="F251" s="34"/>
      <c r="G251" s="33"/>
      <c r="H251" s="33"/>
      <c r="I251" s="33"/>
      <c r="J251" s="33"/>
      <c r="L251" s="33"/>
      <c r="M251" s="33"/>
      <c r="N251" s="33"/>
      <c r="O251" s="33"/>
    </row>
    <row r="252" spans="5:15" ht="16.5">
      <c r="E252" s="33"/>
      <c r="F252" s="34"/>
      <c r="G252" s="33"/>
      <c r="H252" s="33"/>
      <c r="I252" s="33"/>
      <c r="J252" s="33"/>
      <c r="L252" s="33"/>
      <c r="M252" s="33"/>
      <c r="N252" s="33"/>
      <c r="O252" s="33"/>
    </row>
    <row r="253" spans="5:15" ht="16.5">
      <c r="E253" s="33"/>
      <c r="F253" s="34"/>
      <c r="G253" s="33"/>
      <c r="H253" s="33"/>
      <c r="I253" s="33"/>
      <c r="J253" s="33"/>
      <c r="L253" s="33"/>
      <c r="M253" s="33"/>
      <c r="N253" s="33"/>
      <c r="O253" s="33"/>
    </row>
    <row r="254" spans="5:15" ht="16.5">
      <c r="E254" s="33"/>
      <c r="F254" s="34"/>
      <c r="G254" s="33"/>
      <c r="H254" s="33"/>
      <c r="I254" s="33"/>
      <c r="J254" s="33"/>
      <c r="L254" s="33"/>
      <c r="M254" s="33"/>
      <c r="N254" s="33"/>
      <c r="O254" s="33"/>
    </row>
    <row r="255" spans="5:15" ht="16.5">
      <c r="E255" s="33"/>
      <c r="F255" s="34"/>
      <c r="G255" s="33"/>
      <c r="H255" s="33"/>
      <c r="I255" s="33"/>
      <c r="J255" s="33"/>
      <c r="L255" s="33"/>
      <c r="M255" s="33"/>
      <c r="N255" s="33"/>
      <c r="O255" s="33"/>
    </row>
    <row r="256" spans="5:15" ht="16.5">
      <c r="E256" s="33"/>
      <c r="F256" s="34"/>
      <c r="G256" s="33"/>
      <c r="H256" s="33"/>
      <c r="I256" s="33"/>
      <c r="J256" s="33"/>
      <c r="L256" s="33"/>
      <c r="M256" s="33"/>
      <c r="N256" s="33"/>
      <c r="O256" s="33"/>
    </row>
    <row r="257" spans="5:15" ht="16.5">
      <c r="E257" s="33"/>
      <c r="F257" s="34"/>
      <c r="G257" s="33"/>
      <c r="H257" s="33"/>
      <c r="I257" s="33"/>
      <c r="J257" s="33"/>
      <c r="L257" s="33"/>
      <c r="M257" s="33"/>
      <c r="N257" s="33"/>
      <c r="O257" s="33"/>
    </row>
    <row r="258" spans="5:15" ht="16.5">
      <c r="E258" s="33"/>
      <c r="F258" s="34"/>
      <c r="G258" s="33"/>
      <c r="H258" s="33"/>
      <c r="I258" s="33"/>
      <c r="J258" s="33"/>
      <c r="L258" s="33"/>
      <c r="M258" s="33"/>
      <c r="N258" s="33"/>
      <c r="O258" s="33"/>
    </row>
    <row r="259" spans="5:15" ht="16.5">
      <c r="E259" s="33"/>
      <c r="F259" s="34"/>
      <c r="G259" s="33"/>
      <c r="H259" s="33"/>
      <c r="I259" s="33"/>
      <c r="J259" s="33"/>
      <c r="L259" s="33"/>
      <c r="M259" s="33"/>
      <c r="N259" s="33"/>
      <c r="O259" s="33"/>
    </row>
    <row r="260" spans="5:15" ht="16.5">
      <c r="E260" s="33"/>
      <c r="F260" s="34"/>
      <c r="G260" s="33"/>
      <c r="H260" s="33"/>
      <c r="I260" s="33"/>
      <c r="J260" s="33"/>
      <c r="L260" s="33"/>
      <c r="M260" s="33"/>
      <c r="N260" s="33"/>
      <c r="O260" s="33"/>
    </row>
    <row r="261" spans="5:15" ht="16.5">
      <c r="E261" s="33"/>
      <c r="F261" s="34"/>
      <c r="G261" s="33"/>
      <c r="H261" s="33"/>
      <c r="I261" s="33"/>
      <c r="J261" s="33"/>
      <c r="L261" s="33"/>
      <c r="M261" s="33"/>
      <c r="N261" s="33"/>
      <c r="O261" s="33"/>
    </row>
    <row r="262" spans="5:15" ht="16.5">
      <c r="E262" s="33"/>
      <c r="F262" s="34"/>
      <c r="G262" s="33"/>
      <c r="H262" s="33"/>
      <c r="I262" s="33"/>
      <c r="J262" s="33"/>
      <c r="L262" s="33"/>
      <c r="M262" s="33"/>
      <c r="N262" s="33"/>
      <c r="O262" s="33"/>
    </row>
    <row r="263" spans="5:15" ht="16.5">
      <c r="E263" s="33"/>
      <c r="F263" s="34"/>
      <c r="G263" s="33"/>
      <c r="H263" s="33"/>
      <c r="I263" s="33"/>
      <c r="J263" s="33"/>
      <c r="L263" s="33"/>
      <c r="M263" s="33"/>
      <c r="N263" s="33"/>
      <c r="O263" s="33"/>
    </row>
    <row r="264" spans="5:15" ht="16.5">
      <c r="E264" s="33"/>
      <c r="F264" s="34"/>
      <c r="G264" s="33"/>
      <c r="H264" s="33"/>
      <c r="I264" s="33"/>
      <c r="J264" s="33"/>
      <c r="L264" s="33"/>
      <c r="M264" s="33"/>
      <c r="N264" s="33"/>
      <c r="O264" s="33"/>
    </row>
    <row r="265" spans="5:15" ht="16.5">
      <c r="E265" s="33"/>
      <c r="F265" s="34"/>
      <c r="G265" s="33"/>
      <c r="H265" s="33"/>
      <c r="I265" s="33"/>
      <c r="J265" s="33"/>
      <c r="L265" s="33"/>
      <c r="M265" s="33"/>
      <c r="N265" s="33"/>
      <c r="O265" s="33"/>
    </row>
    <row r="266" spans="5:15" ht="16.5">
      <c r="E266" s="33"/>
      <c r="F266" s="34"/>
      <c r="G266" s="33"/>
      <c r="H266" s="33"/>
      <c r="I266" s="33"/>
      <c r="J266" s="33"/>
      <c r="L266" s="33"/>
      <c r="M266" s="33"/>
      <c r="N266" s="33"/>
      <c r="O266" s="33"/>
    </row>
    <row r="267" spans="5:15" ht="16.5">
      <c r="E267" s="33"/>
      <c r="F267" s="34"/>
      <c r="G267" s="33"/>
      <c r="H267" s="33"/>
      <c r="I267" s="33"/>
      <c r="J267" s="33"/>
      <c r="L267" s="33"/>
      <c r="M267" s="33"/>
      <c r="N267" s="33"/>
      <c r="O267" s="33"/>
    </row>
    <row r="268" spans="5:15" ht="16.5">
      <c r="E268" s="33"/>
      <c r="F268" s="34"/>
      <c r="G268" s="33"/>
      <c r="H268" s="33"/>
      <c r="I268" s="33"/>
      <c r="J268" s="33"/>
      <c r="L268" s="33"/>
      <c r="M268" s="33"/>
      <c r="N268" s="33"/>
      <c r="O268" s="33"/>
    </row>
    <row r="269" spans="5:15" ht="16.5">
      <c r="E269" s="33"/>
      <c r="F269" s="34"/>
      <c r="G269" s="33"/>
      <c r="H269" s="33"/>
      <c r="I269" s="33"/>
      <c r="J269" s="33"/>
      <c r="L269" s="33"/>
      <c r="M269" s="33"/>
      <c r="N269" s="33"/>
      <c r="O269" s="33"/>
    </row>
    <row r="270" spans="5:15" ht="16.5">
      <c r="E270" s="33"/>
      <c r="F270" s="34"/>
      <c r="G270" s="33"/>
      <c r="H270" s="33"/>
      <c r="I270" s="33"/>
      <c r="J270" s="33"/>
      <c r="L270" s="33"/>
      <c r="M270" s="33"/>
      <c r="N270" s="33"/>
      <c r="O270" s="33"/>
    </row>
    <row r="271" spans="5:15" ht="16.5">
      <c r="E271" s="33"/>
      <c r="F271" s="34"/>
      <c r="G271" s="33"/>
      <c r="H271" s="33"/>
      <c r="I271" s="33"/>
      <c r="J271" s="33"/>
      <c r="L271" s="33"/>
      <c r="M271" s="33"/>
      <c r="N271" s="33"/>
      <c r="O271" s="33"/>
    </row>
    <row r="272" spans="5:15" ht="16.5">
      <c r="E272" s="33"/>
      <c r="F272" s="34"/>
      <c r="G272" s="33"/>
      <c r="H272" s="33"/>
      <c r="I272" s="33"/>
      <c r="J272" s="33"/>
      <c r="L272" s="33"/>
      <c r="M272" s="33"/>
      <c r="N272" s="33"/>
      <c r="O272" s="33"/>
    </row>
    <row r="273" spans="5:15" ht="16.5">
      <c r="E273" s="33"/>
      <c r="F273" s="34"/>
      <c r="G273" s="33"/>
      <c r="H273" s="33"/>
      <c r="I273" s="33"/>
      <c r="J273" s="33"/>
      <c r="L273" s="33"/>
      <c r="M273" s="33"/>
      <c r="N273" s="33"/>
      <c r="O273" s="33"/>
    </row>
    <row r="274" spans="5:15" ht="16.5">
      <c r="E274" s="33"/>
      <c r="F274" s="34"/>
      <c r="G274" s="33"/>
      <c r="H274" s="33"/>
      <c r="I274" s="33"/>
      <c r="J274" s="33"/>
      <c r="L274" s="33"/>
      <c r="M274" s="33"/>
      <c r="N274" s="33"/>
      <c r="O274" s="33"/>
    </row>
    <row r="275" spans="5:15" ht="16.5">
      <c r="E275" s="33"/>
      <c r="F275" s="34"/>
      <c r="G275" s="33"/>
      <c r="H275" s="33"/>
      <c r="I275" s="33"/>
      <c r="J275" s="33"/>
      <c r="L275" s="33"/>
      <c r="M275" s="33"/>
      <c r="N275" s="33"/>
      <c r="O275" s="33"/>
    </row>
    <row r="276" spans="5:15" ht="16.5">
      <c r="E276" s="33"/>
      <c r="F276" s="34"/>
      <c r="G276" s="33"/>
      <c r="H276" s="33"/>
      <c r="I276" s="33"/>
      <c r="J276" s="33"/>
      <c r="L276" s="33"/>
      <c r="M276" s="33"/>
      <c r="N276" s="33"/>
      <c r="O276" s="33"/>
    </row>
    <row r="277" spans="5:15" ht="16.5">
      <c r="E277" s="33"/>
      <c r="F277" s="34"/>
      <c r="G277" s="33"/>
      <c r="H277" s="33"/>
      <c r="I277" s="33"/>
      <c r="J277" s="33"/>
      <c r="L277" s="33"/>
      <c r="M277" s="33"/>
      <c r="N277" s="33"/>
      <c r="O277" s="33"/>
    </row>
    <row r="278" spans="5:15" ht="16.5">
      <c r="E278" s="33"/>
      <c r="F278" s="34"/>
      <c r="G278" s="33"/>
      <c r="H278" s="33"/>
      <c r="I278" s="33"/>
      <c r="J278" s="33"/>
      <c r="L278" s="33"/>
      <c r="M278" s="33"/>
      <c r="N278" s="33"/>
      <c r="O278" s="33"/>
    </row>
    <row r="279" spans="5:15" ht="16.5">
      <c r="E279" s="33"/>
      <c r="F279" s="34"/>
      <c r="G279" s="33"/>
      <c r="H279" s="33"/>
      <c r="I279" s="33"/>
      <c r="J279" s="33"/>
      <c r="L279" s="33"/>
      <c r="M279" s="33"/>
      <c r="N279" s="33"/>
      <c r="O279" s="33"/>
    </row>
    <row r="280" spans="5:15" ht="16.5">
      <c r="E280" s="33"/>
      <c r="F280" s="34"/>
      <c r="G280" s="33"/>
      <c r="H280" s="33"/>
      <c r="I280" s="33"/>
      <c r="J280" s="33"/>
      <c r="L280" s="33"/>
      <c r="M280" s="33"/>
      <c r="N280" s="33"/>
      <c r="O280" s="33"/>
    </row>
    <row r="281" spans="5:15" ht="16.5">
      <c r="E281" s="33"/>
      <c r="F281" s="34"/>
      <c r="G281" s="33"/>
      <c r="H281" s="33"/>
      <c r="I281" s="33"/>
      <c r="J281" s="33"/>
      <c r="L281" s="33"/>
      <c r="M281" s="33"/>
      <c r="N281" s="33"/>
      <c r="O281" s="33"/>
    </row>
    <row r="282" spans="5:15" ht="16.5">
      <c r="E282" s="33"/>
      <c r="F282" s="34"/>
      <c r="G282" s="33"/>
      <c r="H282" s="33"/>
      <c r="I282" s="33"/>
      <c r="J282" s="33"/>
      <c r="L282" s="33"/>
      <c r="M282" s="33"/>
      <c r="N282" s="33"/>
      <c r="O282" s="33"/>
    </row>
    <row r="283" spans="5:15" ht="16.5">
      <c r="E283" s="33"/>
      <c r="F283" s="34"/>
      <c r="G283" s="33"/>
      <c r="H283" s="33"/>
      <c r="I283" s="33"/>
      <c r="J283" s="33"/>
      <c r="L283" s="33"/>
      <c r="M283" s="33"/>
      <c r="N283" s="33"/>
      <c r="O283" s="33"/>
    </row>
    <row r="284" spans="5:15" ht="16.5">
      <c r="E284" s="33"/>
      <c r="F284" s="34"/>
      <c r="G284" s="33"/>
      <c r="H284" s="33"/>
      <c r="I284" s="33"/>
      <c r="J284" s="33"/>
      <c r="L284" s="33"/>
      <c r="M284" s="33"/>
      <c r="N284" s="33"/>
      <c r="O284" s="33"/>
    </row>
    <row r="285" spans="5:15" ht="16.5">
      <c r="E285" s="33"/>
      <c r="F285" s="34"/>
      <c r="G285" s="33"/>
      <c r="H285" s="33"/>
      <c r="I285" s="33"/>
      <c r="J285" s="33"/>
      <c r="L285" s="33"/>
      <c r="M285" s="33"/>
      <c r="N285" s="33"/>
      <c r="O285" s="33"/>
    </row>
    <row r="286" spans="5:15" ht="16.5">
      <c r="E286" s="33"/>
      <c r="F286" s="34"/>
      <c r="G286" s="33"/>
      <c r="H286" s="33"/>
      <c r="I286" s="33"/>
      <c r="J286" s="33"/>
      <c r="L286" s="33"/>
      <c r="M286" s="33"/>
      <c r="N286" s="33"/>
      <c r="O286" s="33"/>
    </row>
    <row r="287" spans="5:15" ht="16.5">
      <c r="E287" s="33"/>
      <c r="F287" s="34"/>
      <c r="G287" s="33"/>
      <c r="H287" s="33"/>
      <c r="I287" s="33"/>
      <c r="J287" s="33"/>
      <c r="L287" s="33"/>
      <c r="M287" s="33"/>
      <c r="N287" s="33"/>
      <c r="O287" s="33"/>
    </row>
    <row r="288" spans="5:15" ht="16.5">
      <c r="E288" s="33"/>
      <c r="F288" s="34"/>
      <c r="G288" s="33"/>
      <c r="H288" s="33"/>
      <c r="I288" s="33"/>
      <c r="J288" s="33"/>
      <c r="L288" s="33"/>
      <c r="M288" s="33"/>
      <c r="N288" s="33"/>
      <c r="O288" s="33"/>
    </row>
    <row r="289" spans="5:15" ht="16.5">
      <c r="E289" s="33"/>
      <c r="F289" s="34"/>
      <c r="G289" s="33"/>
      <c r="H289" s="33"/>
      <c r="I289" s="33"/>
      <c r="J289" s="33"/>
      <c r="L289" s="33"/>
      <c r="M289" s="33"/>
      <c r="N289" s="33"/>
      <c r="O289" s="33"/>
    </row>
    <row r="290" spans="5:15" ht="16.5">
      <c r="E290" s="33"/>
      <c r="F290" s="34"/>
      <c r="G290" s="33"/>
      <c r="H290" s="33"/>
      <c r="I290" s="33"/>
      <c r="J290" s="33"/>
      <c r="L290" s="33"/>
      <c r="M290" s="33"/>
      <c r="N290" s="33"/>
      <c r="O290" s="33"/>
    </row>
    <row r="291" spans="5:15" ht="16.5">
      <c r="E291" s="33"/>
      <c r="F291" s="34"/>
      <c r="G291" s="33"/>
      <c r="H291" s="33"/>
      <c r="I291" s="33"/>
      <c r="J291" s="33"/>
      <c r="L291" s="33"/>
      <c r="M291" s="33"/>
      <c r="N291" s="33"/>
      <c r="O291" s="33"/>
    </row>
    <row r="292" spans="5:15" ht="16.5">
      <c r="E292" s="33"/>
      <c r="F292" s="34"/>
      <c r="G292" s="33"/>
      <c r="H292" s="33"/>
      <c r="I292" s="33"/>
      <c r="J292" s="33"/>
      <c r="L292" s="33"/>
      <c r="M292" s="33"/>
      <c r="N292" s="33"/>
      <c r="O292" s="33"/>
    </row>
    <row r="293" spans="5:15" ht="16.5">
      <c r="E293" s="33"/>
      <c r="F293" s="34"/>
      <c r="G293" s="33"/>
      <c r="H293" s="33"/>
      <c r="I293" s="33"/>
      <c r="J293" s="33"/>
      <c r="L293" s="33"/>
      <c r="M293" s="33"/>
      <c r="N293" s="33"/>
      <c r="O293" s="33"/>
    </row>
    <row r="294" spans="5:15" ht="16.5">
      <c r="E294" s="33"/>
      <c r="F294" s="34"/>
      <c r="G294" s="33"/>
      <c r="H294" s="33"/>
      <c r="I294" s="33"/>
      <c r="J294" s="33"/>
      <c r="L294" s="33"/>
      <c r="M294" s="33"/>
      <c r="N294" s="33"/>
      <c r="O294" s="33"/>
    </row>
    <row r="295" spans="5:15" ht="16.5">
      <c r="E295" s="33"/>
      <c r="F295" s="34"/>
      <c r="G295" s="33"/>
      <c r="H295" s="33"/>
      <c r="I295" s="33"/>
      <c r="J295" s="33"/>
      <c r="L295" s="33"/>
      <c r="M295" s="33"/>
      <c r="N295" s="33"/>
      <c r="O295" s="33"/>
    </row>
    <row r="296" spans="5:15" ht="16.5">
      <c r="E296" s="33"/>
      <c r="F296" s="34"/>
      <c r="G296" s="33"/>
      <c r="H296" s="33"/>
      <c r="I296" s="33"/>
      <c r="J296" s="33"/>
      <c r="L296" s="33"/>
      <c r="M296" s="33"/>
      <c r="N296" s="33"/>
      <c r="O296" s="33"/>
    </row>
    <row r="297" spans="5:15" ht="16.5">
      <c r="E297" s="33"/>
      <c r="F297" s="34"/>
      <c r="G297" s="33"/>
      <c r="H297" s="33"/>
      <c r="I297" s="33"/>
      <c r="J297" s="33"/>
      <c r="L297" s="33"/>
      <c r="M297" s="33"/>
      <c r="N297" s="33"/>
      <c r="O297" s="33"/>
    </row>
    <row r="298" spans="5:15" ht="16.5">
      <c r="E298" s="33"/>
      <c r="F298" s="34"/>
      <c r="G298" s="33"/>
      <c r="H298" s="33"/>
      <c r="I298" s="33"/>
      <c r="J298" s="33"/>
      <c r="L298" s="33"/>
      <c r="M298" s="33"/>
      <c r="N298" s="33"/>
      <c r="O298" s="33"/>
    </row>
    <row r="299" spans="5:15" ht="16.5">
      <c r="E299" s="33"/>
      <c r="F299" s="34"/>
      <c r="G299" s="33"/>
      <c r="H299" s="33"/>
      <c r="I299" s="33"/>
      <c r="J299" s="33"/>
      <c r="L299" s="33"/>
      <c r="M299" s="33"/>
      <c r="N299" s="33"/>
      <c r="O299" s="33"/>
    </row>
    <row r="300" spans="5:15" ht="16.5">
      <c r="E300" s="33"/>
      <c r="F300" s="34"/>
      <c r="G300" s="33"/>
      <c r="H300" s="33"/>
      <c r="I300" s="33"/>
      <c r="J300" s="33"/>
      <c r="L300" s="33"/>
      <c r="M300" s="33"/>
      <c r="N300" s="33"/>
      <c r="O300" s="33"/>
    </row>
    <row r="301" spans="5:15" ht="16.5">
      <c r="E301" s="33"/>
      <c r="F301" s="34"/>
      <c r="G301" s="33"/>
      <c r="H301" s="33"/>
      <c r="I301" s="33"/>
      <c r="J301" s="33"/>
      <c r="L301" s="33"/>
      <c r="M301" s="33"/>
      <c r="N301" s="33"/>
      <c r="O301" s="33"/>
    </row>
    <row r="302" spans="5:15" ht="16.5">
      <c r="E302" s="33"/>
      <c r="F302" s="34"/>
      <c r="G302" s="33"/>
      <c r="H302" s="33"/>
      <c r="I302" s="33"/>
      <c r="J302" s="33"/>
      <c r="L302" s="33"/>
      <c r="M302" s="33"/>
      <c r="N302" s="33"/>
      <c r="O302" s="33"/>
    </row>
    <row r="303" spans="5:15" ht="16.5">
      <c r="E303" s="33"/>
      <c r="F303" s="34"/>
      <c r="G303" s="33"/>
      <c r="H303" s="33"/>
      <c r="I303" s="33"/>
      <c r="J303" s="33"/>
      <c r="L303" s="33"/>
      <c r="M303" s="33"/>
      <c r="N303" s="33"/>
      <c r="O303" s="33"/>
    </row>
    <row r="304" spans="5:15" ht="16.5">
      <c r="E304" s="33"/>
      <c r="F304" s="34"/>
      <c r="G304" s="33"/>
      <c r="H304" s="33"/>
      <c r="I304" s="33"/>
      <c r="J304" s="33"/>
      <c r="L304" s="33"/>
      <c r="M304" s="33"/>
      <c r="N304" s="33"/>
      <c r="O304" s="33"/>
    </row>
    <row r="305" spans="5:15" ht="16.5">
      <c r="E305" s="33"/>
      <c r="F305" s="34"/>
      <c r="G305" s="33"/>
      <c r="H305" s="33"/>
      <c r="I305" s="33"/>
      <c r="J305" s="33"/>
      <c r="L305" s="33"/>
      <c r="M305" s="33"/>
      <c r="N305" s="33"/>
      <c r="O305" s="33"/>
    </row>
    <row r="306" spans="5:15" ht="16.5">
      <c r="E306" s="33"/>
      <c r="F306" s="34"/>
      <c r="G306" s="33"/>
      <c r="H306" s="33"/>
      <c r="I306" s="33"/>
      <c r="J306" s="33"/>
      <c r="L306" s="33"/>
      <c r="M306" s="33"/>
      <c r="N306" s="33"/>
      <c r="O306" s="33"/>
    </row>
    <row r="307" spans="5:15" ht="16.5">
      <c r="E307" s="33"/>
      <c r="F307" s="34"/>
      <c r="G307" s="33"/>
      <c r="H307" s="33"/>
      <c r="I307" s="33"/>
      <c r="J307" s="33"/>
      <c r="L307" s="33"/>
      <c r="M307" s="33"/>
      <c r="N307" s="33"/>
      <c r="O307" s="33"/>
    </row>
    <row r="308" spans="5:15" ht="16.5">
      <c r="E308" s="33"/>
      <c r="F308" s="34"/>
      <c r="G308" s="33"/>
      <c r="H308" s="33"/>
      <c r="I308" s="33"/>
      <c r="J308" s="33"/>
      <c r="L308" s="33"/>
      <c r="M308" s="33"/>
      <c r="N308" s="33"/>
      <c r="O308" s="33"/>
    </row>
    <row r="309" spans="5:15" ht="16.5">
      <c r="E309" s="33"/>
      <c r="F309" s="34"/>
      <c r="G309" s="33"/>
      <c r="H309" s="33"/>
      <c r="I309" s="33"/>
      <c r="J309" s="33"/>
      <c r="L309" s="33"/>
      <c r="M309" s="33"/>
      <c r="N309" s="33"/>
      <c r="O309" s="33"/>
    </row>
    <row r="310" spans="5:15" ht="16.5">
      <c r="E310" s="33"/>
      <c r="F310" s="34"/>
      <c r="G310" s="33"/>
      <c r="H310" s="33"/>
      <c r="I310" s="33"/>
      <c r="J310" s="33"/>
      <c r="L310" s="33"/>
      <c r="M310" s="33"/>
      <c r="N310" s="33"/>
      <c r="O310" s="33"/>
    </row>
    <row r="311" spans="5:15" ht="16.5">
      <c r="E311" s="33"/>
      <c r="F311" s="34"/>
      <c r="G311" s="33"/>
      <c r="H311" s="33"/>
      <c r="I311" s="33"/>
      <c r="J311" s="33"/>
      <c r="L311" s="33"/>
      <c r="M311" s="33"/>
      <c r="N311" s="33"/>
      <c r="O311" s="33"/>
    </row>
    <row r="312" spans="5:15" ht="16.5">
      <c r="E312" s="33"/>
      <c r="F312" s="34"/>
      <c r="G312" s="33"/>
      <c r="H312" s="33"/>
      <c r="I312" s="33"/>
      <c r="J312" s="33"/>
      <c r="L312" s="33"/>
      <c r="M312" s="33"/>
      <c r="N312" s="33"/>
      <c r="O312" s="33"/>
    </row>
    <row r="313" spans="5:15" ht="16.5">
      <c r="E313" s="33"/>
      <c r="F313" s="34"/>
      <c r="G313" s="33"/>
      <c r="H313" s="33"/>
      <c r="I313" s="33"/>
      <c r="J313" s="33"/>
      <c r="L313" s="33"/>
      <c r="M313" s="33"/>
      <c r="N313" s="33"/>
      <c r="O313" s="33"/>
    </row>
    <row r="314" spans="5:15" ht="16.5">
      <c r="E314" s="33"/>
      <c r="F314" s="34"/>
      <c r="G314" s="33"/>
      <c r="H314" s="33"/>
      <c r="I314" s="33"/>
      <c r="J314" s="33"/>
      <c r="L314" s="33"/>
      <c r="M314" s="33"/>
      <c r="N314" s="33"/>
      <c r="O314" s="33"/>
    </row>
    <row r="315" spans="5:15" ht="16.5">
      <c r="E315" s="33"/>
      <c r="F315" s="34"/>
      <c r="G315" s="33"/>
      <c r="H315" s="33"/>
      <c r="I315" s="33"/>
      <c r="J315" s="33"/>
      <c r="L315" s="33"/>
      <c r="M315" s="33"/>
      <c r="N315" s="33"/>
      <c r="O315" s="33"/>
    </row>
    <row r="316" spans="5:15" ht="16.5">
      <c r="E316" s="33"/>
      <c r="F316" s="34"/>
      <c r="G316" s="33"/>
      <c r="H316" s="33"/>
      <c r="I316" s="33"/>
      <c r="J316" s="33"/>
      <c r="L316" s="33"/>
      <c r="M316" s="33"/>
      <c r="N316" s="33"/>
      <c r="O316" s="33"/>
    </row>
    <row r="317" spans="5:15" ht="16.5">
      <c r="E317" s="33"/>
      <c r="F317" s="34"/>
      <c r="G317" s="33"/>
      <c r="H317" s="33"/>
      <c r="I317" s="33"/>
      <c r="J317" s="33"/>
      <c r="L317" s="33"/>
      <c r="M317" s="33"/>
      <c r="N317" s="33"/>
      <c r="O317" s="33"/>
    </row>
    <row r="318" spans="5:15" ht="16.5">
      <c r="E318" s="33"/>
      <c r="F318" s="34"/>
      <c r="G318" s="33"/>
      <c r="H318" s="33"/>
      <c r="I318" s="33"/>
      <c r="J318" s="33"/>
      <c r="L318" s="33"/>
      <c r="M318" s="33"/>
      <c r="N318" s="33"/>
      <c r="O318" s="33"/>
    </row>
    <row r="319" spans="5:15" ht="16.5">
      <c r="E319" s="33"/>
      <c r="F319" s="34"/>
      <c r="G319" s="33"/>
      <c r="H319" s="33"/>
      <c r="I319" s="33"/>
      <c r="J319" s="33"/>
      <c r="L319" s="33"/>
      <c r="M319" s="33"/>
      <c r="N319" s="33"/>
      <c r="O319" s="33"/>
    </row>
    <row r="320" spans="5:15" ht="16.5">
      <c r="E320" s="33"/>
      <c r="F320" s="34"/>
      <c r="G320" s="33"/>
      <c r="H320" s="33"/>
      <c r="I320" s="33"/>
      <c r="J320" s="33"/>
      <c r="L320" s="33"/>
      <c r="M320" s="33"/>
      <c r="N320" s="33"/>
      <c r="O320" s="33"/>
    </row>
    <row r="321" spans="5:15" ht="16.5">
      <c r="E321" s="33"/>
      <c r="F321" s="34"/>
      <c r="G321" s="33"/>
      <c r="H321" s="33"/>
      <c r="I321" s="33"/>
      <c r="J321" s="33"/>
      <c r="L321" s="33"/>
      <c r="M321" s="33"/>
      <c r="N321" s="33"/>
      <c r="O321" s="33"/>
    </row>
    <row r="322" spans="5:15" ht="16.5">
      <c r="E322" s="33"/>
      <c r="F322" s="34"/>
      <c r="G322" s="33"/>
      <c r="H322" s="33"/>
      <c r="I322" s="33"/>
      <c r="J322" s="33"/>
      <c r="L322" s="33"/>
      <c r="M322" s="33"/>
      <c r="N322" s="33"/>
      <c r="O322" s="33"/>
    </row>
    <row r="323" spans="5:15" ht="16.5">
      <c r="E323" s="33"/>
      <c r="F323" s="34"/>
      <c r="G323" s="33"/>
      <c r="H323" s="33"/>
      <c r="I323" s="33"/>
      <c r="J323" s="33"/>
      <c r="L323" s="33"/>
      <c r="M323" s="33"/>
      <c r="N323" s="33"/>
      <c r="O323" s="33"/>
    </row>
    <row r="324" spans="5:15" ht="16.5">
      <c r="E324" s="33"/>
      <c r="F324" s="34"/>
      <c r="G324" s="33"/>
      <c r="H324" s="33"/>
      <c r="I324" s="33"/>
      <c r="J324" s="33"/>
      <c r="L324" s="33"/>
      <c r="M324" s="33"/>
      <c r="N324" s="33"/>
      <c r="O324" s="33"/>
    </row>
    <row r="325" spans="5:15" ht="16.5">
      <c r="E325" s="33"/>
      <c r="F325" s="34"/>
      <c r="G325" s="33"/>
      <c r="H325" s="33"/>
      <c r="I325" s="33"/>
      <c r="J325" s="33"/>
      <c r="L325" s="33"/>
      <c r="M325" s="33"/>
      <c r="N325" s="33"/>
      <c r="O325" s="33"/>
    </row>
    <row r="326" spans="5:15" ht="16.5">
      <c r="E326" s="33"/>
      <c r="F326" s="34"/>
      <c r="G326" s="33"/>
      <c r="H326" s="33"/>
      <c r="I326" s="33"/>
      <c r="J326" s="33"/>
      <c r="L326" s="33"/>
      <c r="M326" s="33"/>
      <c r="N326" s="33"/>
      <c r="O326" s="33"/>
    </row>
    <row r="327" spans="5:15" ht="16.5">
      <c r="E327" s="33"/>
      <c r="F327" s="34"/>
      <c r="G327" s="33"/>
      <c r="H327" s="33"/>
      <c r="I327" s="33"/>
      <c r="J327" s="33"/>
      <c r="L327" s="33"/>
      <c r="M327" s="33"/>
      <c r="N327" s="33"/>
      <c r="O327" s="33"/>
    </row>
    <row r="328" spans="5:15" ht="16.5">
      <c r="E328" s="33"/>
      <c r="F328" s="34"/>
      <c r="G328" s="33"/>
      <c r="H328" s="33"/>
      <c r="I328" s="33"/>
      <c r="J328" s="33"/>
      <c r="L328" s="33"/>
      <c r="M328" s="33"/>
      <c r="N328" s="33"/>
      <c r="O328" s="33"/>
    </row>
    <row r="329" spans="5:15" ht="16.5">
      <c r="E329" s="33"/>
      <c r="F329" s="34"/>
      <c r="G329" s="33"/>
      <c r="H329" s="33"/>
      <c r="I329" s="33"/>
      <c r="J329" s="33"/>
      <c r="L329" s="33"/>
      <c r="M329" s="33"/>
      <c r="N329" s="33"/>
      <c r="O329" s="33"/>
    </row>
    <row r="330" spans="5:15" ht="16.5">
      <c r="E330" s="33"/>
      <c r="F330" s="34"/>
      <c r="G330" s="33"/>
      <c r="H330" s="33"/>
      <c r="I330" s="33"/>
      <c r="J330" s="33"/>
      <c r="L330" s="33"/>
      <c r="M330" s="33"/>
      <c r="N330" s="33"/>
      <c r="O330" s="33"/>
    </row>
    <row r="331" spans="5:15" ht="16.5">
      <c r="E331" s="33"/>
      <c r="F331" s="34"/>
      <c r="G331" s="33"/>
      <c r="H331" s="33"/>
      <c r="I331" s="33"/>
      <c r="J331" s="33"/>
      <c r="L331" s="33"/>
      <c r="M331" s="33"/>
      <c r="N331" s="33"/>
      <c r="O331" s="33"/>
    </row>
    <row r="332" spans="5:15" ht="16.5">
      <c r="E332" s="33"/>
      <c r="F332" s="34"/>
      <c r="G332" s="33"/>
      <c r="H332" s="33"/>
      <c r="I332" s="33"/>
      <c r="J332" s="33"/>
      <c r="L332" s="33"/>
      <c r="M332" s="33"/>
      <c r="N332" s="33"/>
      <c r="O332" s="33"/>
    </row>
    <row r="333" spans="5:15" ht="16.5">
      <c r="E333" s="33"/>
      <c r="F333" s="34"/>
      <c r="G333" s="33"/>
      <c r="H333" s="33"/>
      <c r="I333" s="33"/>
      <c r="J333" s="33"/>
      <c r="L333" s="33"/>
      <c r="M333" s="33"/>
      <c r="N333" s="33"/>
      <c r="O333" s="33"/>
    </row>
    <row r="334" spans="5:15" ht="16.5">
      <c r="E334" s="33"/>
      <c r="F334" s="34"/>
      <c r="G334" s="33"/>
      <c r="H334" s="33"/>
      <c r="I334" s="33"/>
      <c r="J334" s="33"/>
      <c r="L334" s="33"/>
      <c r="M334" s="33"/>
      <c r="N334" s="33"/>
      <c r="O334" s="33"/>
    </row>
    <row r="335" spans="5:15" ht="16.5">
      <c r="E335" s="33"/>
      <c r="F335" s="34"/>
      <c r="G335" s="33"/>
      <c r="H335" s="33"/>
      <c r="I335" s="33"/>
      <c r="J335" s="33"/>
      <c r="L335" s="33"/>
      <c r="M335" s="33"/>
      <c r="N335" s="33"/>
      <c r="O335" s="33"/>
    </row>
    <row r="336" spans="5:15" ht="16.5">
      <c r="E336" s="33"/>
      <c r="F336" s="34"/>
      <c r="G336" s="33"/>
      <c r="H336" s="33"/>
      <c r="I336" s="33"/>
      <c r="J336" s="33"/>
      <c r="L336" s="33"/>
      <c r="M336" s="33"/>
      <c r="N336" s="33"/>
      <c r="O336" s="33"/>
    </row>
    <row r="337" spans="5:15" ht="16.5">
      <c r="E337" s="33"/>
      <c r="F337" s="34"/>
      <c r="G337" s="33"/>
      <c r="H337" s="33"/>
      <c r="I337" s="33"/>
      <c r="J337" s="33"/>
      <c r="L337" s="33"/>
      <c r="M337" s="33"/>
      <c r="N337" s="33"/>
      <c r="O337" s="33"/>
    </row>
    <row r="338" spans="5:15" ht="16.5">
      <c r="E338" s="33"/>
      <c r="F338" s="34"/>
      <c r="G338" s="33"/>
      <c r="H338" s="33"/>
      <c r="I338" s="33"/>
      <c r="J338" s="33"/>
      <c r="L338" s="33"/>
      <c r="M338" s="33"/>
      <c r="N338" s="33"/>
      <c r="O338" s="33"/>
    </row>
    <row r="339" spans="5:15" ht="16.5">
      <c r="E339" s="33"/>
      <c r="F339" s="34"/>
      <c r="G339" s="33"/>
      <c r="H339" s="33"/>
      <c r="I339" s="33"/>
      <c r="J339" s="33"/>
      <c r="L339" s="33"/>
      <c r="M339" s="33"/>
      <c r="N339" s="33"/>
      <c r="O339" s="33"/>
    </row>
    <row r="340" spans="5:15" ht="16.5">
      <c r="E340" s="33"/>
      <c r="F340" s="34"/>
      <c r="G340" s="33"/>
      <c r="H340" s="33"/>
      <c r="I340" s="33"/>
      <c r="J340" s="33"/>
      <c r="L340" s="33"/>
      <c r="M340" s="33"/>
      <c r="N340" s="33"/>
      <c r="O340" s="33"/>
    </row>
    <row r="341" spans="5:15" ht="16.5">
      <c r="E341" s="33"/>
      <c r="F341" s="34"/>
      <c r="G341" s="33"/>
      <c r="H341" s="33"/>
      <c r="I341" s="33"/>
      <c r="J341" s="33"/>
      <c r="L341" s="33"/>
      <c r="M341" s="33"/>
      <c r="N341" s="33"/>
      <c r="O341" s="33"/>
    </row>
    <row r="342" spans="5:15" ht="16.5">
      <c r="E342" s="33"/>
      <c r="F342" s="34"/>
      <c r="G342" s="33"/>
      <c r="H342" s="33"/>
      <c r="I342" s="33"/>
      <c r="J342" s="33"/>
      <c r="L342" s="33"/>
      <c r="M342" s="33"/>
      <c r="N342" s="33"/>
      <c r="O342" s="33"/>
    </row>
    <row r="343" spans="5:15" ht="16.5">
      <c r="E343" s="33"/>
      <c r="F343" s="34"/>
      <c r="G343" s="33"/>
      <c r="H343" s="33"/>
      <c r="I343" s="33"/>
      <c r="J343" s="33"/>
      <c r="L343" s="33"/>
      <c r="M343" s="33"/>
      <c r="N343" s="33"/>
      <c r="O343" s="33"/>
    </row>
    <row r="344" spans="5:15" ht="16.5">
      <c r="E344" s="33"/>
      <c r="F344" s="34"/>
      <c r="G344" s="33"/>
      <c r="H344" s="33"/>
      <c r="I344" s="33"/>
      <c r="J344" s="33"/>
      <c r="L344" s="33"/>
      <c r="M344" s="33"/>
      <c r="N344" s="33"/>
      <c r="O344" s="33"/>
    </row>
    <row r="345" spans="5:15" ht="16.5">
      <c r="E345" s="33"/>
      <c r="F345" s="34"/>
      <c r="G345" s="33"/>
      <c r="H345" s="33"/>
      <c r="I345" s="33"/>
      <c r="J345" s="33"/>
      <c r="L345" s="33"/>
      <c r="M345" s="33"/>
      <c r="N345" s="33"/>
      <c r="O345" s="33"/>
    </row>
    <row r="346" spans="5:15" ht="16.5">
      <c r="E346" s="33"/>
      <c r="F346" s="34"/>
      <c r="G346" s="33"/>
      <c r="H346" s="33"/>
      <c r="I346" s="33"/>
      <c r="J346" s="33"/>
      <c r="L346" s="33"/>
      <c r="M346" s="33"/>
      <c r="N346" s="33"/>
      <c r="O346" s="33"/>
    </row>
    <row r="347" spans="5:15" ht="16.5">
      <c r="E347" s="33"/>
      <c r="F347" s="34"/>
      <c r="G347" s="33"/>
      <c r="H347" s="33"/>
      <c r="I347" s="33"/>
      <c r="J347" s="33"/>
      <c r="L347" s="33"/>
      <c r="M347" s="33"/>
      <c r="N347" s="33"/>
      <c r="O347" s="33"/>
    </row>
    <row r="348" spans="5:15" ht="16.5">
      <c r="E348" s="33"/>
      <c r="F348" s="34"/>
      <c r="G348" s="33"/>
      <c r="H348" s="33"/>
      <c r="I348" s="33"/>
      <c r="J348" s="33"/>
      <c r="L348" s="33"/>
      <c r="M348" s="33"/>
      <c r="N348" s="33"/>
      <c r="O348" s="33"/>
    </row>
    <row r="349" spans="5:15" ht="16.5">
      <c r="E349" s="33"/>
      <c r="F349" s="34"/>
      <c r="G349" s="33"/>
      <c r="H349" s="33"/>
      <c r="I349" s="33"/>
      <c r="J349" s="33"/>
      <c r="L349" s="33"/>
      <c r="M349" s="33"/>
      <c r="N349" s="33"/>
      <c r="O349" s="33"/>
    </row>
    <row r="350" spans="5:15" ht="16.5">
      <c r="E350" s="33"/>
      <c r="F350" s="34"/>
      <c r="G350" s="33"/>
      <c r="H350" s="33"/>
      <c r="I350" s="33"/>
      <c r="J350" s="33"/>
      <c r="L350" s="33"/>
      <c r="M350" s="33"/>
      <c r="N350" s="33"/>
      <c r="O350" s="33"/>
    </row>
    <row r="351" spans="5:15" ht="16.5">
      <c r="E351" s="33"/>
      <c r="F351" s="34"/>
      <c r="G351" s="33"/>
      <c r="H351" s="33"/>
      <c r="I351" s="33"/>
      <c r="J351" s="33"/>
      <c r="L351" s="33"/>
      <c r="M351" s="33"/>
      <c r="N351" s="33"/>
      <c r="O351" s="33"/>
    </row>
    <row r="352" spans="5:15" ht="16.5">
      <c r="E352" s="33"/>
      <c r="F352" s="34"/>
      <c r="G352" s="33"/>
      <c r="H352" s="33"/>
      <c r="I352" s="33"/>
      <c r="J352" s="33"/>
      <c r="L352" s="33"/>
      <c r="M352" s="33"/>
      <c r="N352" s="33"/>
      <c r="O352" s="33"/>
    </row>
    <row r="353" spans="5:15" ht="16.5">
      <c r="E353" s="33"/>
      <c r="F353" s="34"/>
      <c r="G353" s="33"/>
      <c r="H353" s="33"/>
      <c r="I353" s="33"/>
      <c r="J353" s="33"/>
      <c r="L353" s="33"/>
      <c r="M353" s="33"/>
      <c r="N353" s="33"/>
      <c r="O353" s="33"/>
    </row>
    <row r="354" spans="5:15" ht="16.5">
      <c r="E354" s="33"/>
      <c r="F354" s="34"/>
      <c r="G354" s="33"/>
      <c r="H354" s="33"/>
      <c r="I354" s="33"/>
      <c r="J354" s="33"/>
      <c r="L354" s="33"/>
      <c r="M354" s="33"/>
      <c r="N354" s="33"/>
      <c r="O354" s="33"/>
    </row>
    <row r="355" spans="5:15" ht="16.5">
      <c r="E355" s="33"/>
      <c r="F355" s="34"/>
      <c r="G355" s="33"/>
      <c r="H355" s="33"/>
      <c r="I355" s="33"/>
      <c r="J355" s="33"/>
      <c r="L355" s="33"/>
      <c r="M355" s="33"/>
      <c r="N355" s="33"/>
      <c r="O355" s="33"/>
    </row>
    <row r="356" spans="5:15" ht="16.5">
      <c r="E356" s="33"/>
      <c r="F356" s="34"/>
      <c r="G356" s="33"/>
      <c r="H356" s="33"/>
      <c r="I356" s="33"/>
      <c r="J356" s="33"/>
      <c r="L356" s="33"/>
      <c r="M356" s="33"/>
      <c r="N356" s="33"/>
      <c r="O356" s="33"/>
    </row>
    <row r="357" spans="5:15" ht="16.5">
      <c r="E357" s="33"/>
      <c r="F357" s="34"/>
      <c r="G357" s="33"/>
      <c r="H357" s="33"/>
      <c r="I357" s="33"/>
      <c r="J357" s="33"/>
      <c r="L357" s="33"/>
      <c r="M357" s="33"/>
      <c r="N357" s="33"/>
      <c r="O357" s="33"/>
    </row>
    <row r="358" spans="5:15" ht="16.5">
      <c r="E358" s="33"/>
      <c r="F358" s="34"/>
      <c r="G358" s="33"/>
      <c r="H358" s="33"/>
      <c r="I358" s="33"/>
      <c r="J358" s="33"/>
      <c r="L358" s="33"/>
      <c r="M358" s="33"/>
      <c r="N358" s="33"/>
      <c r="O358" s="33"/>
    </row>
    <row r="359" spans="5:15" ht="16.5">
      <c r="E359" s="33"/>
      <c r="F359" s="34"/>
      <c r="G359" s="33"/>
      <c r="H359" s="33"/>
      <c r="I359" s="33"/>
      <c r="J359" s="33"/>
      <c r="L359" s="33"/>
      <c r="M359" s="33"/>
      <c r="N359" s="33"/>
      <c r="O359" s="33"/>
    </row>
    <row r="360" spans="5:15" ht="16.5">
      <c r="E360" s="33"/>
      <c r="F360" s="34"/>
      <c r="G360" s="33"/>
      <c r="H360" s="33"/>
      <c r="I360" s="33"/>
      <c r="J360" s="33"/>
      <c r="L360" s="33"/>
      <c r="M360" s="33"/>
      <c r="N360" s="33"/>
      <c r="O360" s="33"/>
    </row>
    <row r="361" spans="5:15" ht="16.5">
      <c r="E361" s="33"/>
      <c r="F361" s="34"/>
      <c r="G361" s="33"/>
      <c r="H361" s="33"/>
      <c r="I361" s="33"/>
      <c r="J361" s="33"/>
      <c r="L361" s="33"/>
      <c r="M361" s="33"/>
      <c r="N361" s="33"/>
      <c r="O361" s="33"/>
    </row>
    <row r="362" spans="5:15" ht="16.5">
      <c r="E362" s="33"/>
      <c r="F362" s="34"/>
      <c r="G362" s="33"/>
      <c r="H362" s="33"/>
      <c r="I362" s="33"/>
      <c r="J362" s="33"/>
      <c r="L362" s="33"/>
      <c r="M362" s="33"/>
      <c r="N362" s="33"/>
      <c r="O362" s="33"/>
    </row>
    <row r="363" spans="5:15" ht="16.5">
      <c r="E363" s="33"/>
      <c r="F363" s="34"/>
      <c r="G363" s="33"/>
      <c r="H363" s="33"/>
      <c r="I363" s="33"/>
      <c r="J363" s="33"/>
      <c r="L363" s="33"/>
      <c r="M363" s="33"/>
      <c r="N363" s="33"/>
      <c r="O363" s="33"/>
    </row>
    <row r="364" spans="5:15" ht="16.5">
      <c r="E364" s="33"/>
      <c r="F364" s="34"/>
      <c r="G364" s="33"/>
      <c r="H364" s="33"/>
      <c r="I364" s="33"/>
      <c r="J364" s="33"/>
      <c r="L364" s="33"/>
      <c r="M364" s="33"/>
      <c r="N364" s="33"/>
      <c r="O364" s="33"/>
    </row>
    <row r="365" spans="5:15" ht="16.5">
      <c r="E365" s="33"/>
      <c r="F365" s="34"/>
      <c r="G365" s="33"/>
      <c r="H365" s="33"/>
      <c r="I365" s="33"/>
      <c r="J365" s="33"/>
      <c r="L365" s="33"/>
      <c r="M365" s="33"/>
      <c r="N365" s="33"/>
      <c r="O365" s="33"/>
    </row>
    <row r="366" spans="5:15" ht="16.5">
      <c r="E366" s="33"/>
      <c r="F366" s="34"/>
      <c r="G366" s="33"/>
      <c r="H366" s="33"/>
      <c r="I366" s="33"/>
      <c r="J366" s="33"/>
      <c r="L366" s="33"/>
      <c r="M366" s="33"/>
      <c r="N366" s="33"/>
      <c r="O366" s="33"/>
    </row>
    <row r="367" spans="5:15" ht="16.5">
      <c r="E367" s="33"/>
      <c r="F367" s="34"/>
      <c r="G367" s="33"/>
      <c r="H367" s="33"/>
      <c r="I367" s="33"/>
      <c r="J367" s="33"/>
      <c r="L367" s="33"/>
      <c r="M367" s="33"/>
      <c r="N367" s="33"/>
      <c r="O367" s="33"/>
    </row>
    <row r="368" spans="5:15" ht="16.5">
      <c r="E368" s="33"/>
      <c r="F368" s="34"/>
      <c r="G368" s="33"/>
      <c r="H368" s="33"/>
      <c r="I368" s="33"/>
      <c r="J368" s="33"/>
      <c r="L368" s="33"/>
      <c r="M368" s="33"/>
      <c r="N368" s="33"/>
      <c r="O368" s="33"/>
    </row>
    <row r="369" spans="5:15" ht="16.5">
      <c r="E369" s="33"/>
      <c r="F369" s="34"/>
      <c r="G369" s="33"/>
      <c r="H369" s="33"/>
      <c r="I369" s="33"/>
      <c r="J369" s="33"/>
      <c r="L369" s="33"/>
      <c r="M369" s="33"/>
      <c r="N369" s="33"/>
      <c r="O369" s="33"/>
    </row>
    <row r="370" spans="5:15" ht="16.5">
      <c r="E370" s="33"/>
      <c r="F370" s="34"/>
      <c r="G370" s="33"/>
      <c r="H370" s="33"/>
      <c r="I370" s="33"/>
      <c r="J370" s="33"/>
      <c r="L370" s="33"/>
      <c r="M370" s="33"/>
      <c r="N370" s="33"/>
      <c r="O370" s="33"/>
    </row>
    <row r="371" spans="5:15" ht="16.5">
      <c r="E371" s="33"/>
      <c r="F371" s="34"/>
      <c r="G371" s="33"/>
      <c r="H371" s="33"/>
      <c r="I371" s="33"/>
      <c r="J371" s="33"/>
      <c r="L371" s="33"/>
      <c r="M371" s="33"/>
      <c r="N371" s="33"/>
      <c r="O371" s="33"/>
    </row>
    <row r="372" spans="5:15" ht="16.5">
      <c r="E372" s="33"/>
      <c r="F372" s="34"/>
      <c r="G372" s="33"/>
      <c r="H372" s="33"/>
      <c r="I372" s="33"/>
      <c r="J372" s="33"/>
      <c r="L372" s="33"/>
      <c r="M372" s="33"/>
      <c r="N372" s="33"/>
      <c r="O372" s="33"/>
    </row>
    <row r="373" spans="5:15" ht="16.5">
      <c r="E373" s="33"/>
      <c r="F373" s="34"/>
      <c r="G373" s="33"/>
      <c r="H373" s="33"/>
      <c r="I373" s="33"/>
      <c r="J373" s="33"/>
      <c r="L373" s="33"/>
      <c r="M373" s="33"/>
      <c r="N373" s="33"/>
      <c r="O373" s="33"/>
    </row>
    <row r="374" spans="5:15" ht="16.5">
      <c r="E374" s="33"/>
      <c r="F374" s="34"/>
      <c r="G374" s="33"/>
      <c r="H374" s="33"/>
      <c r="I374" s="33"/>
      <c r="J374" s="33"/>
      <c r="L374" s="33"/>
      <c r="M374" s="33"/>
      <c r="N374" s="33"/>
      <c r="O374" s="33"/>
    </row>
  </sheetData>
  <mergeCells count="34">
    <mergeCell ref="AD38:AH38"/>
    <mergeCell ref="A34:C34"/>
    <mergeCell ref="A35:C35"/>
    <mergeCell ref="A38:E38"/>
    <mergeCell ref="T38:X38"/>
    <mergeCell ref="Y38:AC38"/>
    <mergeCell ref="F38:J38"/>
    <mergeCell ref="T37:AC37"/>
    <mergeCell ref="K38:P38"/>
    <mergeCell ref="P34:Q34"/>
    <mergeCell ref="A30:C30"/>
    <mergeCell ref="P35:Q35"/>
    <mergeCell ref="A32:C32"/>
    <mergeCell ref="A33:C33"/>
    <mergeCell ref="A13:C13"/>
    <mergeCell ref="A14:C14"/>
    <mergeCell ref="A20:C20"/>
    <mergeCell ref="A21:C21"/>
    <mergeCell ref="A15:C15"/>
    <mergeCell ref="A17:C17"/>
    <mergeCell ref="A29:C29"/>
    <mergeCell ref="A26:C26"/>
    <mergeCell ref="A27:C27"/>
    <mergeCell ref="A25:C25"/>
    <mergeCell ref="A22:C22"/>
    <mergeCell ref="A23:C23"/>
    <mergeCell ref="A24:C24"/>
    <mergeCell ref="H19:J20"/>
    <mergeCell ref="A9:C9"/>
    <mergeCell ref="A10:C10"/>
    <mergeCell ref="A5:C5"/>
    <mergeCell ref="A6:C6"/>
    <mergeCell ref="A7:C7"/>
    <mergeCell ref="A8:C8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r:id="rId5"/>
  <headerFooter alignWithMargins="0">
    <oddFooter>&amp;L&amp;8MNW file &amp;F sheet &amp;A&amp;C&amp;8&amp;P&amp;R&amp;8printed at &amp;T on &amp;D</oddFooter>
  </headerFooter>
  <drawing r:id="rId4"/>
  <legacyDrawing r:id="rId3"/>
  <oleObjects>
    <oleObject progId="Mathcad" shapeId="26011422" r:id="rId1"/>
    <oleObject progId="Equation.3" shapeId="2601142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CF374"/>
  <sheetViews>
    <sheetView workbookViewId="0" topLeftCell="O17">
      <selection activeCell="T21" sqref="T21:AA23"/>
    </sheetView>
  </sheetViews>
  <sheetFormatPr defaultColWidth="9.140625" defaultRowHeight="12.75"/>
  <cols>
    <col min="1" max="1" width="5.7109375" style="2" customWidth="1"/>
    <col min="2" max="2" width="7.421875" style="2" customWidth="1"/>
    <col min="3" max="3" width="6.8515625" style="11" customWidth="1"/>
    <col min="4" max="4" width="6.7109375" style="5" customWidth="1"/>
    <col min="5" max="5" width="9.28125" style="3" customWidth="1"/>
    <col min="6" max="6" width="6.57421875" style="5" customWidth="1"/>
    <col min="7" max="7" width="8.140625" style="2" customWidth="1"/>
    <col min="8" max="8" width="7.00390625" style="2" customWidth="1"/>
    <col min="9" max="9" width="6.8515625" style="2" customWidth="1"/>
    <col min="10" max="10" width="8.28125" style="2" customWidth="1"/>
    <col min="11" max="11" width="6.7109375" style="11" customWidth="1"/>
    <col min="12" max="12" width="7.7109375" style="2" customWidth="1"/>
    <col min="13" max="13" width="7.28125" style="2" customWidth="1"/>
    <col min="14" max="14" width="7.8515625" style="2" customWidth="1"/>
    <col min="15" max="15" width="7.140625" style="2" customWidth="1"/>
    <col min="16" max="16" width="7.00390625" style="4" customWidth="1"/>
    <col min="17" max="17" width="7.7109375" style="18" customWidth="1"/>
    <col min="18" max="18" width="6.8515625" style="30" customWidth="1"/>
    <col min="19" max="19" width="2.140625" style="30" customWidth="1"/>
    <col min="20" max="27" width="8.7109375" style="30" customWidth="1"/>
    <col min="28" max="28" width="7.7109375" style="30" customWidth="1"/>
    <col min="29" max="29" width="7.140625" style="0" customWidth="1"/>
    <col min="30" max="33" width="5.8515625" style="0" customWidth="1"/>
    <col min="34" max="75" width="8.7109375" style="0" customWidth="1"/>
    <col min="76" max="16384" width="8.7109375" style="2" customWidth="1"/>
  </cols>
  <sheetData>
    <row r="1" spans="1:16" ht="16.5">
      <c r="A1" s="5" t="s">
        <v>205</v>
      </c>
      <c r="C1" s="14"/>
      <c r="D1" s="1"/>
      <c r="E1" s="1"/>
      <c r="F1" s="1"/>
      <c r="G1" s="17"/>
      <c r="H1" s="5"/>
      <c r="I1" s="19"/>
      <c r="J1" s="163" t="s">
        <v>199</v>
      </c>
      <c r="K1" s="14">
        <f>E29</f>
        <v>3.9995581103872464</v>
      </c>
      <c r="L1" s="1" t="s">
        <v>200</v>
      </c>
      <c r="M1" s="164" t="s">
        <v>201</v>
      </c>
      <c r="N1" s="14">
        <f>E35</f>
        <v>4</v>
      </c>
      <c r="O1" s="1" t="s">
        <v>52</v>
      </c>
      <c r="P1" s="2"/>
    </row>
    <row r="2" spans="1:16" ht="21.75" customHeight="1">
      <c r="A2" s="5" t="s">
        <v>195</v>
      </c>
      <c r="C2" s="14"/>
      <c r="D2" s="1"/>
      <c r="E2" s="1"/>
      <c r="F2" s="1"/>
      <c r="G2" s="17"/>
      <c r="H2" s="5"/>
      <c r="I2" s="19"/>
      <c r="K2" s="123"/>
      <c r="L2" s="5"/>
      <c r="M2" s="5"/>
      <c r="P2" s="2"/>
    </row>
    <row r="3" spans="1:10" ht="16.5">
      <c r="A3" s="5" t="s">
        <v>198</v>
      </c>
      <c r="I3" s="10"/>
      <c r="J3" s="10" t="s">
        <v>111</v>
      </c>
    </row>
    <row r="4" spans="1:9" ht="15" customHeight="1">
      <c r="A4" s="5" t="s">
        <v>196</v>
      </c>
      <c r="H4" s="5"/>
      <c r="I4" s="10"/>
    </row>
    <row r="5" spans="1:10" ht="24" customHeight="1">
      <c r="A5" s="181" t="s">
        <v>0</v>
      </c>
      <c r="B5" s="182"/>
      <c r="C5" s="182"/>
      <c r="D5" s="5" t="s">
        <v>140</v>
      </c>
      <c r="E5" s="3">
        <f>0.00973/2</f>
        <v>0.004865</v>
      </c>
      <c r="F5" s="5" t="s">
        <v>7</v>
      </c>
      <c r="J5" s="10" t="s">
        <v>112</v>
      </c>
    </row>
    <row r="6" spans="1:12" ht="16.5">
      <c r="A6" s="181" t="s">
        <v>1</v>
      </c>
      <c r="B6" s="182"/>
      <c r="C6" s="182"/>
      <c r="D6" s="5" t="s">
        <v>3</v>
      </c>
      <c r="E6" s="3">
        <f>0.001166/2</f>
        <v>0.000583</v>
      </c>
      <c r="F6" s="5" t="s">
        <v>7</v>
      </c>
      <c r="H6" s="5"/>
      <c r="I6" s="10"/>
      <c r="L6" s="2" t="s">
        <v>16</v>
      </c>
    </row>
    <row r="7" spans="1:6" ht="16.5">
      <c r="A7" s="181" t="s">
        <v>2</v>
      </c>
      <c r="B7" s="182"/>
      <c r="C7" s="182"/>
      <c r="D7" s="5" t="s">
        <v>4</v>
      </c>
      <c r="E7" s="3">
        <v>0.074</v>
      </c>
      <c r="F7" s="5" t="s">
        <v>7</v>
      </c>
    </row>
    <row r="8" spans="1:10" ht="16.5" customHeight="1">
      <c r="A8" s="181" t="s">
        <v>5</v>
      </c>
      <c r="B8" s="182"/>
      <c r="C8" s="182"/>
      <c r="D8" s="5" t="s">
        <v>6</v>
      </c>
      <c r="E8" s="3">
        <v>0.0625</v>
      </c>
      <c r="F8" s="2" t="s">
        <v>8</v>
      </c>
      <c r="H8" s="48"/>
      <c r="I8" s="36"/>
      <c r="J8" s="10" t="s">
        <v>113</v>
      </c>
    </row>
    <row r="9" spans="1:9" ht="16.5">
      <c r="A9" s="181" t="s">
        <v>11</v>
      </c>
      <c r="B9" s="182"/>
      <c r="C9" s="182"/>
      <c r="D9" s="5" t="s">
        <v>12</v>
      </c>
      <c r="E9" s="3">
        <v>6.4E-05</v>
      </c>
      <c r="F9" s="2" t="s">
        <v>8</v>
      </c>
      <c r="H9" s="49"/>
      <c r="I9" s="36"/>
    </row>
    <row r="10" spans="1:8" ht="16.5">
      <c r="A10" s="181" t="s">
        <v>9</v>
      </c>
      <c r="B10" s="182"/>
      <c r="C10" s="182"/>
      <c r="D10" s="5" t="s">
        <v>10</v>
      </c>
      <c r="E10" s="18">
        <v>30</v>
      </c>
      <c r="H10" s="5" t="s">
        <v>114</v>
      </c>
    </row>
    <row r="11" spans="1:8" ht="18">
      <c r="A11" s="5" t="s">
        <v>191</v>
      </c>
      <c r="B11" s="6"/>
      <c r="C11" s="6"/>
      <c r="D11" s="5" t="s">
        <v>192</v>
      </c>
      <c r="E11" s="139">
        <v>0.324</v>
      </c>
      <c r="F11" s="5" t="s">
        <v>197</v>
      </c>
      <c r="H11" s="5"/>
    </row>
    <row r="12" spans="1:12" ht="18">
      <c r="A12" s="5" t="s">
        <v>193</v>
      </c>
      <c r="B12" s="6"/>
      <c r="C12" s="6"/>
      <c r="D12" s="5" t="s">
        <v>194</v>
      </c>
      <c r="E12" s="139">
        <v>0.2455</v>
      </c>
      <c r="H12" s="5" t="s">
        <v>135</v>
      </c>
      <c r="L12" s="8"/>
    </row>
    <row r="13" spans="1:8" ht="18">
      <c r="A13" s="181" t="s">
        <v>203</v>
      </c>
      <c r="B13" s="182"/>
      <c r="C13" s="182"/>
      <c r="D13" s="7" t="s">
        <v>204</v>
      </c>
      <c r="E13" s="3">
        <f>4*PI()*10^-7</f>
        <v>1.2566370614359173E-06</v>
      </c>
      <c r="F13" s="5" t="s">
        <v>14</v>
      </c>
      <c r="H13" s="22"/>
    </row>
    <row r="14" spans="1:8" ht="16.5">
      <c r="A14" s="181" t="s">
        <v>17</v>
      </c>
      <c r="B14" s="182"/>
      <c r="C14" s="182"/>
      <c r="D14" s="7" t="s">
        <v>58</v>
      </c>
      <c r="E14" s="4">
        <v>0.826</v>
      </c>
      <c r="H14" s="22"/>
    </row>
    <row r="15" spans="1:8" ht="16.5">
      <c r="A15" s="181" t="s">
        <v>18</v>
      </c>
      <c r="B15" s="182"/>
      <c r="C15" s="182"/>
      <c r="D15" s="7" t="s">
        <v>19</v>
      </c>
      <c r="E15" s="4">
        <v>0.872</v>
      </c>
      <c r="H15" s="5" t="s">
        <v>115</v>
      </c>
    </row>
    <row r="16" spans="1:5" ht="16.5">
      <c r="A16" s="5" t="s">
        <v>69</v>
      </c>
      <c r="B16" s="6"/>
      <c r="C16" s="6"/>
      <c r="D16" s="5" t="s">
        <v>70</v>
      </c>
      <c r="E16" s="4">
        <v>2.24</v>
      </c>
    </row>
    <row r="17" spans="1:8" ht="16.5">
      <c r="A17" s="181" t="s">
        <v>20</v>
      </c>
      <c r="B17" s="182"/>
      <c r="C17" s="182"/>
      <c r="D17" s="7" t="s">
        <v>59</v>
      </c>
      <c r="E17" s="4">
        <f>1/(1+E16)</f>
        <v>0.30864197530864196</v>
      </c>
      <c r="H17" s="5" t="s">
        <v>136</v>
      </c>
    </row>
    <row r="18" spans="1:75" ht="18.75">
      <c r="A18" s="5" t="s">
        <v>122</v>
      </c>
      <c r="B18" s="36"/>
      <c r="C18" s="36"/>
      <c r="D18" s="25" t="s">
        <v>124</v>
      </c>
      <c r="E18" s="3">
        <v>1.24E-10</v>
      </c>
      <c r="F18" s="5" t="s">
        <v>13</v>
      </c>
      <c r="L18" s="47"/>
      <c r="N18" s="4"/>
      <c r="P18" s="30"/>
      <c r="Q18" s="40"/>
      <c r="AA18"/>
      <c r="AB18"/>
      <c r="BV18" s="2"/>
      <c r="BW18" s="2"/>
    </row>
    <row r="19" spans="1:75" ht="18.75">
      <c r="A19" s="5" t="s">
        <v>123</v>
      </c>
      <c r="B19" s="36"/>
      <c r="C19" s="36"/>
      <c r="D19" s="25" t="s">
        <v>125</v>
      </c>
      <c r="E19" s="3">
        <v>9E-11</v>
      </c>
      <c r="F19" s="5" t="s">
        <v>121</v>
      </c>
      <c r="H19" s="183" t="s">
        <v>92</v>
      </c>
      <c r="I19" s="184"/>
      <c r="J19" s="185"/>
      <c r="L19" s="47"/>
      <c r="N19" s="4"/>
      <c r="P19" s="30"/>
      <c r="Q19" s="40"/>
      <c r="AA19"/>
      <c r="AB19"/>
      <c r="BV19" s="2"/>
      <c r="BW19" s="2"/>
    </row>
    <row r="20" spans="1:76" ht="18.75">
      <c r="A20" s="181" t="s">
        <v>45</v>
      </c>
      <c r="B20" s="182"/>
      <c r="C20" s="182"/>
      <c r="D20" s="9" t="s">
        <v>126</v>
      </c>
      <c r="E20" s="3">
        <v>0.004</v>
      </c>
      <c r="F20" s="2" t="s">
        <v>7</v>
      </c>
      <c r="H20" s="184"/>
      <c r="I20" s="184"/>
      <c r="J20" s="185"/>
      <c r="K20" s="32"/>
      <c r="L20" s="11"/>
      <c r="M20" s="5"/>
      <c r="O20" s="103" t="s">
        <v>160</v>
      </c>
      <c r="P20" s="103" t="s">
        <v>161</v>
      </c>
      <c r="Q20" s="104" t="s">
        <v>163</v>
      </c>
      <c r="R20" s="117" t="s">
        <v>169</v>
      </c>
      <c r="AC20" s="30"/>
      <c r="BX20"/>
    </row>
    <row r="21" spans="1:76" ht="18.75">
      <c r="A21" s="181" t="s">
        <v>34</v>
      </c>
      <c r="B21" s="182"/>
      <c r="C21" s="182"/>
      <c r="D21" s="9" t="s">
        <v>127</v>
      </c>
      <c r="E21" s="3">
        <v>6.02E-06</v>
      </c>
      <c r="F21" s="5" t="s">
        <v>7</v>
      </c>
      <c r="K21" s="2"/>
      <c r="L21" s="123"/>
      <c r="O21" s="105" t="s">
        <v>159</v>
      </c>
      <c r="P21" s="105" t="s">
        <v>159</v>
      </c>
      <c r="Q21" s="106" t="s">
        <v>164</v>
      </c>
      <c r="R21" s="118" t="s">
        <v>170</v>
      </c>
      <c r="AC21" s="30"/>
      <c r="BX21"/>
    </row>
    <row r="22" spans="1:78" ht="31.5" customHeight="1">
      <c r="A22" s="181" t="s">
        <v>137</v>
      </c>
      <c r="B22" s="182"/>
      <c r="C22" s="182"/>
      <c r="D22" s="9" t="s">
        <v>60</v>
      </c>
      <c r="E22" s="3">
        <v>35000000000</v>
      </c>
      <c r="F22" s="5" t="s">
        <v>40</v>
      </c>
      <c r="G22" s="3"/>
      <c r="H22" s="5" t="s">
        <v>43</v>
      </c>
      <c r="K22" s="2"/>
      <c r="L22" s="11"/>
      <c r="O22" s="113" t="s">
        <v>162</v>
      </c>
      <c r="P22" s="113" t="s">
        <v>162</v>
      </c>
      <c r="Q22" s="114" t="s">
        <v>85</v>
      </c>
      <c r="R22" s="119" t="s">
        <v>171</v>
      </c>
      <c r="S22" s="2"/>
      <c r="T22" s="175"/>
      <c r="U22" s="175"/>
      <c r="V22" s="176"/>
      <c r="W22" s="175"/>
      <c r="X22" s="177"/>
      <c r="Y22" s="175"/>
      <c r="Z22" s="178"/>
      <c r="AA22" s="178"/>
      <c r="AC22" s="30"/>
      <c r="AD22" s="30"/>
      <c r="AE22" s="30"/>
      <c r="BX22"/>
      <c r="BY22"/>
      <c r="BZ22"/>
    </row>
    <row r="23" spans="1:78" ht="18.75">
      <c r="A23" s="181" t="s">
        <v>137</v>
      </c>
      <c r="B23" s="182"/>
      <c r="C23" s="182"/>
      <c r="D23" s="9" t="s">
        <v>61</v>
      </c>
      <c r="E23" s="4">
        <v>0.148519435587142</v>
      </c>
      <c r="F23" s="5" t="s">
        <v>21</v>
      </c>
      <c r="H23" s="2" t="s">
        <v>44</v>
      </c>
      <c r="I23" s="2" t="s">
        <v>62</v>
      </c>
      <c r="J23" s="2" t="s">
        <v>63</v>
      </c>
      <c r="K23" s="2"/>
      <c r="L23" s="11"/>
      <c r="M23" s="108"/>
      <c r="N23" s="109" t="s">
        <v>202</v>
      </c>
      <c r="O23" s="132">
        <f>K109*4*J28</f>
        <v>0.20614100347641467</v>
      </c>
      <c r="P23" s="105"/>
      <c r="Q23" s="106">
        <f aca="true" t="shared" si="0" ref="Q23:Q30">O23*2*E$34</f>
        <v>0.4122364611687299</v>
      </c>
      <c r="R23" s="115">
        <f aca="true" t="shared" si="1" ref="R23:R28">Q23/Q$30</f>
        <v>0.005348768875089024</v>
      </c>
      <c r="S23" s="2"/>
      <c r="T23" s="15"/>
      <c r="U23" s="179"/>
      <c r="V23" s="179"/>
      <c r="W23" s="179"/>
      <c r="X23" s="179"/>
      <c r="Y23" s="179"/>
      <c r="Z23" s="179"/>
      <c r="AA23" s="179"/>
      <c r="AC23" s="30"/>
      <c r="AD23" s="30"/>
      <c r="AE23" s="30"/>
      <c r="BX23"/>
      <c r="BY23"/>
      <c r="BZ23"/>
    </row>
    <row r="24" spans="1:77" ht="18.75">
      <c r="A24" s="181" t="s">
        <v>137</v>
      </c>
      <c r="B24" s="182"/>
      <c r="C24" s="182"/>
      <c r="D24" s="9" t="s">
        <v>64</v>
      </c>
      <c r="E24" s="3">
        <v>5000000000</v>
      </c>
      <c r="F24" s="5" t="s">
        <v>40</v>
      </c>
      <c r="H24" s="2">
        <v>1</v>
      </c>
      <c r="I24" s="15">
        <v>0</v>
      </c>
      <c r="J24" s="15">
        <v>15.673373548625944</v>
      </c>
      <c r="K24" s="15"/>
      <c r="L24" s="11"/>
      <c r="M24" s="78"/>
      <c r="N24" s="110" t="s">
        <v>168</v>
      </c>
      <c r="O24" s="132">
        <f>L109*4*J28</f>
        <v>10.690973985439912</v>
      </c>
      <c r="P24" s="105"/>
      <c r="Q24" s="106">
        <f t="shared" si="0"/>
        <v>21.379585855702633</v>
      </c>
      <c r="R24" s="115">
        <f t="shared" si="1"/>
        <v>0.27740016752295493</v>
      </c>
      <c r="S24" s="2"/>
      <c r="T24" s="2"/>
      <c r="AC24" s="30"/>
      <c r="AD24" s="30"/>
      <c r="AE24" s="30"/>
      <c r="BX24"/>
      <c r="BY24"/>
    </row>
    <row r="25" spans="1:77" ht="18.75">
      <c r="A25" s="181" t="s">
        <v>137</v>
      </c>
      <c r="B25" s="182"/>
      <c r="C25" s="182"/>
      <c r="D25" s="9" t="s">
        <v>65</v>
      </c>
      <c r="E25" s="3">
        <v>-700000000</v>
      </c>
      <c r="F25" s="5" t="s">
        <v>47</v>
      </c>
      <c r="H25" s="2">
        <v>2</v>
      </c>
      <c r="I25" s="15">
        <v>17.081863443783423</v>
      </c>
      <c r="J25" s="15">
        <v>36.23820889210402</v>
      </c>
      <c r="K25" s="15"/>
      <c r="L25" s="11"/>
      <c r="M25" s="78"/>
      <c r="N25" s="111" t="s">
        <v>165</v>
      </c>
      <c r="O25" s="132">
        <f>M109*4*J28</f>
        <v>0.1558415301125444</v>
      </c>
      <c r="P25" s="107"/>
      <c r="Q25" s="106">
        <f t="shared" si="0"/>
        <v>0.3116486278483926</v>
      </c>
      <c r="R25" s="115">
        <f t="shared" si="1"/>
        <v>0.004043641544645905</v>
      </c>
      <c r="S25" s="2"/>
      <c r="T25"/>
      <c r="AC25" s="30"/>
      <c r="AD25" s="30"/>
      <c r="AE25" s="30"/>
      <c r="BX25"/>
      <c r="BY25"/>
    </row>
    <row r="26" spans="1:77" ht="18.75">
      <c r="A26" s="181" t="s">
        <v>39</v>
      </c>
      <c r="B26" s="182"/>
      <c r="C26" s="182"/>
      <c r="D26" s="9" t="s">
        <v>138</v>
      </c>
      <c r="E26" s="3">
        <v>32000000000</v>
      </c>
      <c r="F26" s="5" t="s">
        <v>40</v>
      </c>
      <c r="H26" s="2">
        <v>3</v>
      </c>
      <c r="I26" s="15">
        <v>41.284249216564326</v>
      </c>
      <c r="J26" s="15">
        <v>55.21613681534294</v>
      </c>
      <c r="K26" s="15"/>
      <c r="L26" s="11"/>
      <c r="M26" s="112"/>
      <c r="N26" s="110" t="s">
        <v>166</v>
      </c>
      <c r="O26" s="132">
        <f>N109*4*J28</f>
        <v>10.598251684736569</v>
      </c>
      <c r="P26" s="105"/>
      <c r="Q26" s="106">
        <f t="shared" si="0"/>
        <v>21.19416174080672</v>
      </c>
      <c r="R26" s="115">
        <f t="shared" si="1"/>
        <v>0.2749942892761973</v>
      </c>
      <c r="S26" s="2"/>
      <c r="T26"/>
      <c r="AC26" s="30"/>
      <c r="AD26" s="30"/>
      <c r="AE26" s="30"/>
      <c r="BX26"/>
      <c r="BY26"/>
    </row>
    <row r="27" spans="1:77" ht="18.75">
      <c r="A27" s="181" t="s">
        <v>39</v>
      </c>
      <c r="B27" s="182"/>
      <c r="C27" s="182"/>
      <c r="D27" s="9" t="s">
        <v>139</v>
      </c>
      <c r="E27" s="2">
        <v>0.5</v>
      </c>
      <c r="F27" s="5" t="s">
        <v>21</v>
      </c>
      <c r="H27" s="2">
        <v>4</v>
      </c>
      <c r="I27" s="15">
        <v>66.20526072708387</v>
      </c>
      <c r="J27" s="15">
        <v>73.17120452647318</v>
      </c>
      <c r="K27" s="15"/>
      <c r="L27" s="11"/>
      <c r="M27" s="129"/>
      <c r="N27" s="50" t="s">
        <v>167</v>
      </c>
      <c r="O27" s="133">
        <f>O109*4*J28</f>
        <v>15.54905642200678</v>
      </c>
      <c r="P27" s="130"/>
      <c r="Q27" s="104">
        <f t="shared" si="0"/>
        <v>31.094677360753057</v>
      </c>
      <c r="R27" s="131">
        <f t="shared" si="1"/>
        <v>0.4034534984523278</v>
      </c>
      <c r="S27" s="12"/>
      <c r="T27"/>
      <c r="AC27" s="30"/>
      <c r="AD27" s="30"/>
      <c r="AE27" s="30"/>
      <c r="BX27"/>
      <c r="BY27"/>
    </row>
    <row r="28" spans="1:76" ht="16.5">
      <c r="A28" s="5" t="s">
        <v>93</v>
      </c>
      <c r="B28" s="6"/>
      <c r="C28" s="6"/>
      <c r="D28" s="5" t="s">
        <v>87</v>
      </c>
      <c r="E28" s="18">
        <v>6800</v>
      </c>
      <c r="F28" s="5" t="s">
        <v>91</v>
      </c>
      <c r="I28" s="10" t="s">
        <v>50</v>
      </c>
      <c r="J28" s="15">
        <f>245*2.54*12/100/32/2</f>
        <v>1.1668124999999998</v>
      </c>
      <c r="K28" s="123" t="s">
        <v>49</v>
      </c>
      <c r="L28" s="123"/>
      <c r="M28" s="112"/>
      <c r="N28" s="110" t="s">
        <v>177</v>
      </c>
      <c r="O28" s="132">
        <f>P109*4*J28</f>
        <v>1.339632739485248</v>
      </c>
      <c r="P28" s="125"/>
      <c r="Q28" s="106">
        <f t="shared" si="0"/>
        <v>2.6789694940742548</v>
      </c>
      <c r="R28" s="115">
        <f t="shared" si="1"/>
        <v>0.034759634328784844</v>
      </c>
      <c r="S28" s="12"/>
      <c r="T28"/>
      <c r="AC28" s="30"/>
      <c r="AD28" s="30"/>
      <c r="AE28" s="30"/>
      <c r="BX28"/>
    </row>
    <row r="29" spans="1:76" ht="16.5">
      <c r="A29" s="181" t="s">
        <v>94</v>
      </c>
      <c r="B29" s="182"/>
      <c r="C29" s="182"/>
      <c r="D29" s="5" t="s">
        <v>88</v>
      </c>
      <c r="E29" s="4">
        <f>P34*E28+P35*E28^P36</f>
        <v>3.9995581103872464</v>
      </c>
      <c r="F29" s="5" t="s">
        <v>21</v>
      </c>
      <c r="H29" s="5"/>
      <c r="I29" s="10" t="s">
        <v>54</v>
      </c>
      <c r="J29" s="3">
        <v>7.888866402398716E-06</v>
      </c>
      <c r="K29" s="123" t="s">
        <v>35</v>
      </c>
      <c r="L29" s="123"/>
      <c r="M29" s="126"/>
      <c r="N29" s="107" t="s">
        <v>178</v>
      </c>
      <c r="O29" s="132">
        <f>O27+O28</f>
        <v>16.888689161492028</v>
      </c>
      <c r="P29" s="107"/>
      <c r="Q29" s="114">
        <f t="shared" si="0"/>
        <v>33.77364685482731</v>
      </c>
      <c r="R29" s="115">
        <f>Q29/Q30</f>
        <v>0.4382131327811127</v>
      </c>
      <c r="S29" s="12"/>
      <c r="T29"/>
      <c r="AC29" s="30"/>
      <c r="AD29" s="30"/>
      <c r="AE29" s="30"/>
      <c r="BX29"/>
    </row>
    <row r="30" spans="1:76" ht="16.5">
      <c r="A30" s="181" t="s">
        <v>22</v>
      </c>
      <c r="B30" s="182"/>
      <c r="C30" s="182"/>
      <c r="D30" s="5" t="s">
        <v>48</v>
      </c>
      <c r="E30" s="13">
        <v>2.1215</v>
      </c>
      <c r="F30" s="5" t="s">
        <v>21</v>
      </c>
      <c r="H30" s="10"/>
      <c r="I30" s="10" t="s">
        <v>55</v>
      </c>
      <c r="K30" s="123" t="s">
        <v>15</v>
      </c>
      <c r="L30" s="123"/>
      <c r="M30" s="127"/>
      <c r="N30" s="128" t="s">
        <v>179</v>
      </c>
      <c r="O30" s="134">
        <f>SUM(O23:O26)+O29</f>
        <v>38.539897365257474</v>
      </c>
      <c r="P30" s="128"/>
      <c r="Q30" s="135">
        <f t="shared" si="0"/>
        <v>77.0712795403538</v>
      </c>
      <c r="R30" s="136">
        <f>SUM(R23:R26)+R29</f>
        <v>0.9999999999999998</v>
      </c>
      <c r="S30" s="4"/>
      <c r="T30"/>
      <c r="AC30" s="30"/>
      <c r="AD30" s="30"/>
      <c r="AE30" s="30"/>
      <c r="BX30"/>
    </row>
    <row r="31" spans="1:76" ht="16.5">
      <c r="A31" s="5" t="s">
        <v>95</v>
      </c>
      <c r="B31" s="6"/>
      <c r="C31" s="6"/>
      <c r="D31" s="5" t="s">
        <v>89</v>
      </c>
      <c r="E31" s="18">
        <v>1</v>
      </c>
      <c r="F31" s="5" t="s">
        <v>91</v>
      </c>
      <c r="H31" s="10"/>
      <c r="I31" s="10" t="s">
        <v>67</v>
      </c>
      <c r="J31" s="15"/>
      <c r="L31" s="15"/>
      <c r="M31" s="5"/>
      <c r="O31" s="10"/>
      <c r="P31" s="16"/>
      <c r="R31" s="4"/>
      <c r="S31"/>
      <c r="AC31" s="30"/>
      <c r="AD31" s="30"/>
      <c r="BX31"/>
    </row>
    <row r="32" spans="1:76" ht="16.5">
      <c r="A32" s="181" t="s">
        <v>96</v>
      </c>
      <c r="B32" s="182"/>
      <c r="C32" s="182"/>
      <c r="D32" s="5" t="s">
        <v>84</v>
      </c>
      <c r="E32" s="15">
        <v>0</v>
      </c>
      <c r="F32" s="5" t="s">
        <v>21</v>
      </c>
      <c r="I32" s="10"/>
      <c r="J32" s="27"/>
      <c r="K32" s="38"/>
      <c r="L32" s="27"/>
      <c r="M32" s="5"/>
      <c r="O32" s="10"/>
      <c r="P32" s="16"/>
      <c r="R32" s="2"/>
      <c r="S32" s="4"/>
      <c r="AC32" s="30"/>
      <c r="AD32" s="30"/>
      <c r="BX32"/>
    </row>
    <row r="33" spans="1:83" ht="18">
      <c r="A33" s="181" t="s">
        <v>66</v>
      </c>
      <c r="B33" s="182"/>
      <c r="C33" s="182"/>
      <c r="D33" s="5" t="s">
        <v>146</v>
      </c>
      <c r="E33" s="15">
        <f>E32/E29</f>
        <v>0</v>
      </c>
      <c r="H33" s="5" t="s">
        <v>129</v>
      </c>
      <c r="I33" s="6"/>
      <c r="J33" s="20"/>
      <c r="K33" s="5" t="s">
        <v>132</v>
      </c>
      <c r="L33" s="15">
        <v>1</v>
      </c>
      <c r="M33" s="5"/>
      <c r="O33" s="10" t="s">
        <v>172</v>
      </c>
      <c r="P33" s="10"/>
      <c r="Q33" s="27"/>
      <c r="R33" s="38"/>
      <c r="S33" s="27"/>
      <c r="T33" s="5"/>
      <c r="U33" s="2"/>
      <c r="V33" s="10"/>
      <c r="W33" s="16"/>
      <c r="X33" s="18"/>
      <c r="Y33" s="3"/>
      <c r="Z33"/>
      <c r="AC33" s="30"/>
      <c r="AD33" s="30"/>
      <c r="AE33" s="30"/>
      <c r="AF33" s="30"/>
      <c r="AG33" s="30"/>
      <c r="AH33" s="30"/>
      <c r="AI33" s="30"/>
      <c r="AJ33" s="30"/>
      <c r="AK33" s="30"/>
      <c r="BX33"/>
      <c r="BY33"/>
      <c r="BZ33"/>
      <c r="CA33"/>
      <c r="CB33"/>
      <c r="CC33"/>
      <c r="CD33"/>
      <c r="CE33"/>
    </row>
    <row r="34" spans="1:84" ht="18">
      <c r="A34" s="181" t="s">
        <v>23</v>
      </c>
      <c r="B34" s="182"/>
      <c r="C34" s="182"/>
      <c r="D34" s="5" t="s">
        <v>56</v>
      </c>
      <c r="E34" s="4">
        <f>(E29-E32)/E35</f>
        <v>0.9998895275968116</v>
      </c>
      <c r="F34" s="5" t="s">
        <v>15</v>
      </c>
      <c r="H34" s="5" t="s">
        <v>128</v>
      </c>
      <c r="I34" s="6"/>
      <c r="J34" s="20"/>
      <c r="K34" s="5" t="s">
        <v>133</v>
      </c>
      <c r="L34" s="15">
        <v>2</v>
      </c>
      <c r="M34" s="5"/>
      <c r="O34" s="10" t="s">
        <v>188</v>
      </c>
      <c r="P34" s="202">
        <v>0.0009023255298815842</v>
      </c>
      <c r="Q34" s="203"/>
      <c r="R34" s="38"/>
      <c r="S34" s="27"/>
      <c r="T34" s="5"/>
      <c r="U34" s="2"/>
      <c r="V34" s="10"/>
      <c r="W34" s="29"/>
      <c r="X34" s="18"/>
      <c r="Y34" s="3"/>
      <c r="Z34"/>
      <c r="AC34" s="30"/>
      <c r="AD34" s="30"/>
      <c r="AE34" s="30"/>
      <c r="AF34" s="30"/>
      <c r="AG34" s="30"/>
      <c r="AH34" s="30"/>
      <c r="AI34" s="30"/>
      <c r="AJ34" s="30"/>
      <c r="AK34" s="30"/>
      <c r="BX34"/>
      <c r="BY34"/>
      <c r="BZ34"/>
      <c r="CA34"/>
      <c r="CB34"/>
      <c r="CC34"/>
      <c r="CD34"/>
      <c r="CE34"/>
      <c r="CF34"/>
    </row>
    <row r="35" spans="1:82" ht="18">
      <c r="A35" s="181" t="s">
        <v>51</v>
      </c>
      <c r="B35" s="182"/>
      <c r="C35" s="182"/>
      <c r="D35" s="5" t="s">
        <v>53</v>
      </c>
      <c r="E35" s="15">
        <v>4</v>
      </c>
      <c r="F35" s="5" t="s">
        <v>52</v>
      </c>
      <c r="H35" s="5" t="s">
        <v>130</v>
      </c>
      <c r="I35" s="6"/>
      <c r="J35" s="20"/>
      <c r="K35" s="5" t="s">
        <v>134</v>
      </c>
      <c r="L35" s="15">
        <v>1</v>
      </c>
      <c r="M35" s="5"/>
      <c r="O35" s="10" t="s">
        <v>189</v>
      </c>
      <c r="P35" s="186">
        <v>-5.378266220120102E-05</v>
      </c>
      <c r="Q35" s="187"/>
      <c r="R35" s="38"/>
      <c r="S35" s="5"/>
      <c r="T35" s="2"/>
      <c r="U35" s="10"/>
      <c r="V35" s="29"/>
      <c r="W35" s="16"/>
      <c r="X35" s="18"/>
      <c r="Y35"/>
      <c r="AC35" s="30"/>
      <c r="AD35" s="30"/>
      <c r="AE35" s="30"/>
      <c r="AF35" s="30"/>
      <c r="AG35" s="30"/>
      <c r="AH35" s="30"/>
      <c r="AI35" s="30"/>
      <c r="AJ35" s="30"/>
      <c r="BX35"/>
      <c r="BY35"/>
      <c r="BZ35"/>
      <c r="CA35"/>
      <c r="CB35"/>
      <c r="CC35"/>
      <c r="CD35"/>
    </row>
    <row r="36" spans="3:81" ht="16.5">
      <c r="C36" s="2"/>
      <c r="D36" s="2"/>
      <c r="E36" s="2"/>
      <c r="F36" s="2"/>
      <c r="H36" s="5" t="s">
        <v>131</v>
      </c>
      <c r="I36" s="6"/>
      <c r="J36" s="20"/>
      <c r="K36" s="5" t="s">
        <v>68</v>
      </c>
      <c r="L36" s="15">
        <v>1</v>
      </c>
      <c r="M36" s="5"/>
      <c r="O36" s="10" t="s">
        <v>90</v>
      </c>
      <c r="P36" s="27">
        <v>1.2000000525728414</v>
      </c>
      <c r="Q36" s="10"/>
      <c r="R36" s="38"/>
      <c r="S36" s="5"/>
      <c r="T36" s="2"/>
      <c r="U36" s="10"/>
      <c r="V36" s="29"/>
      <c r="W36" s="16"/>
      <c r="X36" s="18"/>
      <c r="Y36"/>
      <c r="AC36" s="30"/>
      <c r="AD36" s="30"/>
      <c r="AE36" s="30"/>
      <c r="AF36" s="30"/>
      <c r="AG36" s="30"/>
      <c r="AH36" s="30"/>
      <c r="AI36" s="30"/>
      <c r="AJ36" s="30"/>
      <c r="BX36"/>
      <c r="BY36"/>
      <c r="BZ36"/>
      <c r="CA36"/>
      <c r="CB36"/>
      <c r="CC36"/>
    </row>
    <row r="37" spans="16:77" ht="15.75" customHeight="1">
      <c r="P37" s="2"/>
      <c r="Q37" s="120" t="s">
        <v>144</v>
      </c>
      <c r="R37" s="56" t="s">
        <v>157</v>
      </c>
      <c r="S37" s="4"/>
      <c r="T37" s="194" t="s">
        <v>71</v>
      </c>
      <c r="U37" s="201"/>
      <c r="V37" s="201"/>
      <c r="W37" s="201"/>
      <c r="X37" s="201"/>
      <c r="Y37" s="201"/>
      <c r="Z37" s="201"/>
      <c r="AA37" s="201"/>
      <c r="AB37" s="201"/>
      <c r="AC37" s="190"/>
      <c r="AD37" s="30"/>
      <c r="BX37"/>
      <c r="BY37"/>
    </row>
    <row r="38" spans="1:77" ht="18">
      <c r="A38" s="191" t="s">
        <v>46</v>
      </c>
      <c r="B38" s="192"/>
      <c r="C38" s="192"/>
      <c r="D38" s="192"/>
      <c r="E38" s="193"/>
      <c r="F38" s="198" t="s">
        <v>141</v>
      </c>
      <c r="G38" s="199"/>
      <c r="H38" s="199"/>
      <c r="I38" s="199"/>
      <c r="J38" s="200"/>
      <c r="K38" s="191" t="s">
        <v>143</v>
      </c>
      <c r="L38" s="192"/>
      <c r="M38" s="192"/>
      <c r="N38" s="192"/>
      <c r="O38" s="192"/>
      <c r="P38" s="200"/>
      <c r="Q38" s="121" t="s">
        <v>176</v>
      </c>
      <c r="R38" s="57" t="s">
        <v>173</v>
      </c>
      <c r="S38" s="4"/>
      <c r="T38" s="194" t="s">
        <v>72</v>
      </c>
      <c r="U38" s="195"/>
      <c r="V38" s="195"/>
      <c r="W38" s="195"/>
      <c r="X38" s="196"/>
      <c r="Y38" s="194" t="s">
        <v>73</v>
      </c>
      <c r="Z38" s="195"/>
      <c r="AA38" s="195"/>
      <c r="AB38" s="195"/>
      <c r="AC38" s="197"/>
      <c r="AD38" s="188" t="s">
        <v>142</v>
      </c>
      <c r="AE38" s="189"/>
      <c r="AF38" s="189"/>
      <c r="AG38" s="189"/>
      <c r="AH38" s="190"/>
      <c r="BX38"/>
      <c r="BY38"/>
    </row>
    <row r="39" spans="1:76" ht="16.5">
      <c r="A39" s="51" t="s">
        <v>24</v>
      </c>
      <c r="B39" s="52" t="s">
        <v>25</v>
      </c>
      <c r="C39" s="53" t="s">
        <v>26</v>
      </c>
      <c r="D39" s="54" t="s">
        <v>27</v>
      </c>
      <c r="E39" s="55" t="s">
        <v>29</v>
      </c>
      <c r="F39" s="45" t="s">
        <v>28</v>
      </c>
      <c r="G39" s="54" t="s">
        <v>36</v>
      </c>
      <c r="H39" s="54" t="s">
        <v>37</v>
      </c>
      <c r="I39" s="46" t="s">
        <v>38</v>
      </c>
      <c r="J39" s="55" t="s">
        <v>29</v>
      </c>
      <c r="K39" s="89" t="s">
        <v>30</v>
      </c>
      <c r="L39" s="52" t="s">
        <v>31</v>
      </c>
      <c r="M39" s="52" t="s">
        <v>32</v>
      </c>
      <c r="N39" s="52" t="s">
        <v>33</v>
      </c>
      <c r="O39" s="52" t="s">
        <v>174</v>
      </c>
      <c r="P39" s="116" t="s">
        <v>175</v>
      </c>
      <c r="Q39" s="122" t="s">
        <v>41</v>
      </c>
      <c r="R39" s="58" t="s">
        <v>42</v>
      </c>
      <c r="S39"/>
      <c r="T39" s="59" t="s">
        <v>74</v>
      </c>
      <c r="U39" s="60" t="s">
        <v>75</v>
      </c>
      <c r="V39" s="60" t="s">
        <v>76</v>
      </c>
      <c r="W39" s="60" t="s">
        <v>77</v>
      </c>
      <c r="X39" s="61" t="s">
        <v>78</v>
      </c>
      <c r="Y39" s="59" t="s">
        <v>79</v>
      </c>
      <c r="Z39" s="60" t="s">
        <v>80</v>
      </c>
      <c r="AA39" s="60" t="s">
        <v>81</v>
      </c>
      <c r="AB39" s="60" t="s">
        <v>82</v>
      </c>
      <c r="AC39" s="61" t="s">
        <v>83</v>
      </c>
      <c r="AD39" s="59" t="s">
        <v>116</v>
      </c>
      <c r="AE39" s="62" t="s">
        <v>117</v>
      </c>
      <c r="AF39" s="62" t="s">
        <v>118</v>
      </c>
      <c r="AG39" s="62" t="s">
        <v>119</v>
      </c>
      <c r="AH39" s="63" t="s">
        <v>120</v>
      </c>
      <c r="BX39"/>
    </row>
    <row r="40" spans="1:76" ht="16.5">
      <c r="A40" s="18">
        <v>0</v>
      </c>
      <c r="B40" s="4">
        <v>-0.8219977069090909</v>
      </c>
      <c r="C40" s="11">
        <v>244.26680129999903</v>
      </c>
      <c r="D40" s="4">
        <v>-7.829455454545454E-06</v>
      </c>
      <c r="E40" s="4">
        <f aca="true" t="shared" si="2" ref="E40:E56">SQRT(B40^2+D40^2)</f>
        <v>0.8219977069463784</v>
      </c>
      <c r="F40" s="82">
        <f aca="true" t="shared" si="3" ref="F40:F56">-B40*$E$29*(1-$E$33)/$E$30/$E$34</f>
        <v>1.54984248297731</v>
      </c>
      <c r="G40" s="85">
        <f aca="true" t="shared" si="4" ref="G40:G56">C40*$E$29*(1-$E$33)/$E$30/$E$34</f>
        <v>460.5548928588245</v>
      </c>
      <c r="H40" s="87">
        <f aca="true" t="shared" si="5" ref="H40:H56">-D40*$E$29*(1-$E$33)/$E$30/$E$34</f>
        <v>1.4762112570436868E-05</v>
      </c>
      <c r="I40" s="87">
        <f aca="true" t="shared" si="6" ref="I40:I56">E40*$E$29*(1-$E$33)/$E$30/$E$34</f>
        <v>1.549842483047614</v>
      </c>
      <c r="J40" s="56">
        <f aca="true" t="shared" si="7" ref="J40:J56">E40*E$29/E$30</f>
        <v>1.5496712682239484</v>
      </c>
      <c r="K40" s="11">
        <f aca="true" t="shared" si="8" ref="K40:K56">L$33*E$14/120*F40^2/E$8*E$7*E$10*(E$10-1)*E$5/E$6</f>
        <v>142.12129908890222</v>
      </c>
      <c r="L40" s="11">
        <f aca="true" t="shared" si="9" ref="L40:L56">L$34*E$14/6*F40^2/E$9*E$7*E$5/E$6*(1+(G40*E$5/F40)^2/15)</f>
        <v>7270.288089568925</v>
      </c>
      <c r="M40" s="15">
        <f aca="true" t="shared" si="10" ref="M40:M56">L$35*E$14/8*H40^2/E$9*E$7*E$6/E$5</f>
        <v>3.1176297838509306E-09</v>
      </c>
      <c r="N40" s="11">
        <f aca="true" t="shared" si="11" ref="N40:N56">E$14*E$15*(E$12/E$11)^2*J40*(1-E$33)/E$34^2*(E$20/2/PI())^2/E$19*LN((E$18+E$19*J40)/(E$18+E$19*E$33*J40))</f>
        <v>2175.394216962767</v>
      </c>
      <c r="O40" s="11">
        <f aca="true" t="shared" si="12" ref="O40:O56">(Y40+Z40+AA40+AB40+AC40)/5</f>
        <v>5220.372367337795</v>
      </c>
      <c r="P40" s="11">
        <f aca="true" t="shared" si="13" ref="P40:P56">(AD40+AE40+AF40+AG40+AH40)/5</f>
        <v>329.4041308871149</v>
      </c>
      <c r="Q40" s="120">
        <f aca="true" t="shared" si="14" ref="Q40:Q56">SUM(K40:P40)</f>
        <v>15137.580103848622</v>
      </c>
      <c r="R40" s="90">
        <f aca="true" t="shared" si="15" ref="R40:R55">Q40*J$29</f>
        <v>0.11941834709487066</v>
      </c>
      <c r="S40" s="28"/>
      <c r="T40" s="92">
        <f aca="true" t="shared" si="16" ref="T40:T56">SQRT(($B40-$C40*0.8*$E$5)^2+$D40^2)*$E$29/$E$30</f>
        <v>3.341952891658965</v>
      </c>
      <c r="U40" s="93">
        <f aca="true" t="shared" si="17" ref="U40:U56">SQRT(($B40-$C40*0.4*$E$5)^2+$D40^2)*$E$29/$E$30</f>
        <v>2.4458120799345493</v>
      </c>
      <c r="V40" s="93">
        <f aca="true" t="shared" si="18" ref="V40:V56">SQRT(($B40)^2+$D40^2)*$E$29/$E$30</f>
        <v>1.5496712682239484</v>
      </c>
      <c r="W40" s="93">
        <f aca="true" t="shared" si="19" ref="W40:W56">SQRT(($B40+$C40*0.4*$E$5)^2+$D40^2)*$E$29/$E$30</f>
        <v>0.6535304565839826</v>
      </c>
      <c r="X40" s="94">
        <f aca="true" t="shared" si="20" ref="X40:X56">SQRT(($B40+$C40*0.8*$E$5)^2+$D40^2)*$E$29/$E$30</f>
        <v>0.24261035576807957</v>
      </c>
      <c r="Y40" s="165">
        <f aca="true" t="shared" si="21" ref="Y40:Y56">$L$36*$E$14*$E$15*$E$17/$E$34*2/3*$E$21/PI()*($E$22*$E$23*LN((T40+$E$23)/($E$33*T40+$E$23))+$E$24*T40*(1-$E$33)+$E$25*T40^2/2*(1-$E$33^2))</f>
        <v>8296.846057957628</v>
      </c>
      <c r="Z40" s="165">
        <f aca="true" t="shared" si="22" ref="Z40:Z56">$L$36*$E$14*$E$15*$E$17/$E$34*2/3*$E$21/PI()*($E$22*$E$23*LN((U40+$E$23)/($E$33*U40+$E$23))+$E$24*U40*(1-$E$33)+$E$25*U40^2/2*(1-$E$33^2))</f>
        <v>7101.7535506521635</v>
      </c>
      <c r="AA40" s="165">
        <f aca="true" t="shared" si="23" ref="AA40:AA56">$L$36*$E$14*$E$15*$E$17/$E$34*2/3*$E$21/PI()*($E$22*$E$23*LN((V40+$E$23)/($E$33*V40+$E$23))+$E$24*V40*(1-$E$33)+$E$25*V40^2/2*(1-$E$33^2))</f>
        <v>5559.409297037888</v>
      </c>
      <c r="AB40" s="165">
        <f aca="true" t="shared" si="24" ref="AB40:AB56">$L$36*$E$14*$E$15*$E$17/$E$34*2/3*$E$21/PI()*($E$22*$E$23*LN((W40+$E$23)/($E$33*W40+$E$23))+$E$24*W40*(1-$E$33)+$E$25*W40^2/2*(1-$E$33^2))</f>
        <v>3375.528301659717</v>
      </c>
      <c r="AC40" s="165">
        <f aca="true" t="shared" si="25" ref="AC40:AC56">$L$36*$E$14*$E$15*$E$17/$E$34*2/3*$E$21/PI()*($E$22*$E$23*LN((X40+$E$23)/($E$33*X40+$E$23))+$E$24*X40*(1-$E$33)+$E$25*X40^2/2*(1-$E$33^2))</f>
        <v>1768.324629381578</v>
      </c>
      <c r="AD40" s="169">
        <f aca="true" t="shared" si="26" ref="AD40:AD56">1/9/PI()*$E$21/$E$34*$E$28^2*T40*(3*T40+4*$E$27)/($E$26*$E$27*$E$14*$E$15*$E$17*16*$E$5^2*$E$6^2)</f>
        <v>864.3548002764022</v>
      </c>
      <c r="AE40" s="170">
        <f aca="true" t="shared" si="27" ref="AE40:AE56">1/9/PI()*$E$21/$E$34*$E$28^2*U40*(3*U40+4*$E$27)/($E$26*$E$27*$E$14*$E$15*$E$17*16*$E$5^2*$E$6^2)</f>
        <v>491.1638145544017</v>
      </c>
      <c r="AF40" s="170">
        <f aca="true" t="shared" si="28" ref="AF40:AF56">1/9/PI()*$E$21/$E$34*$E$28^2*V40*(3*V40+4*$E$27)/($E$26*$E$27*$E$14*$E$15*$E$17*16*$E$5^2*$E$6^2)</f>
        <v>221.60137170875853</v>
      </c>
      <c r="AG40" s="170">
        <f aca="true" t="shared" si="29" ref="AG40:AG56">1/9/PI()*$E$21/$E$34*$E$28^2*W40*(3*W40+4*$E$27)/($E$26*$E$27*$E$14*$E$15*$E$17*16*$E$5^2*$E$6^2)</f>
        <v>55.667471741916</v>
      </c>
      <c r="AH40" s="171">
        <f aca="true" t="shared" si="30" ref="AH40:AH56">1/9/PI()*$E$21/$E$34*$E$28^2*X40*(3*X40+4*$E$27)/($E$26*$E$27*$E$14*$E$15*$E$17*16*$E$5^2*$E$6^2)</f>
        <v>14.233196154096154</v>
      </c>
      <c r="AI40" s="28"/>
      <c r="BX40"/>
    </row>
    <row r="41" spans="1:76" ht="16.5">
      <c r="A41" s="18">
        <v>1</v>
      </c>
      <c r="B41" s="4">
        <v>-0.8217296287421121</v>
      </c>
      <c r="C41" s="11">
        <v>246.64712192512508</v>
      </c>
      <c r="D41" s="4">
        <v>-0.004352904612639874</v>
      </c>
      <c r="E41" s="4">
        <f t="shared" si="2"/>
        <v>0.8217411578661593</v>
      </c>
      <c r="F41" s="83">
        <f t="shared" si="3"/>
        <v>1.5493370327449674</v>
      </c>
      <c r="G41" s="86">
        <f t="shared" si="4"/>
        <v>465.0428883810984</v>
      </c>
      <c r="H41" s="88">
        <f t="shared" si="5"/>
        <v>0.008207220575328538</v>
      </c>
      <c r="I41" s="88">
        <f t="shared" si="6"/>
        <v>1.5493587704287706</v>
      </c>
      <c r="J41" s="57">
        <f t="shared" si="7"/>
        <v>1.5491876090420003</v>
      </c>
      <c r="K41" s="11">
        <f t="shared" si="8"/>
        <v>142.02861414753843</v>
      </c>
      <c r="L41" s="11">
        <f t="shared" si="9"/>
        <v>7283.539604131452</v>
      </c>
      <c r="M41" s="15">
        <f t="shared" si="10"/>
        <v>0.0009636508912010048</v>
      </c>
      <c r="N41" s="11">
        <f t="shared" si="11"/>
        <v>2174.23849222703</v>
      </c>
      <c r="O41" s="11">
        <f t="shared" si="12"/>
        <v>5239.190266647626</v>
      </c>
      <c r="P41" s="11">
        <f t="shared" si="13"/>
        <v>331.6263466102568</v>
      </c>
      <c r="Q41" s="121">
        <f t="shared" si="14"/>
        <v>15170.624287414794</v>
      </c>
      <c r="R41" s="90">
        <f t="shared" si="15"/>
        <v>0.11967902824440053</v>
      </c>
      <c r="S41" s="28"/>
      <c r="T41" s="79">
        <f t="shared" si="16"/>
        <v>3.3589228707486023</v>
      </c>
      <c r="U41" s="80">
        <f t="shared" si="17"/>
        <v>2.4540530808851906</v>
      </c>
      <c r="V41" s="80">
        <f t="shared" si="18"/>
        <v>1.5491876090420003</v>
      </c>
      <c r="W41" s="80">
        <f t="shared" si="19"/>
        <v>0.6443446471101922</v>
      </c>
      <c r="X41" s="81">
        <f t="shared" si="20"/>
        <v>0.2607102847088317</v>
      </c>
      <c r="Y41" s="165">
        <f t="shared" si="21"/>
        <v>8316.80196518743</v>
      </c>
      <c r="Z41" s="165">
        <f t="shared" si="22"/>
        <v>7114.125102826345</v>
      </c>
      <c r="AA41" s="165">
        <f t="shared" si="23"/>
        <v>5558.450882368122</v>
      </c>
      <c r="AB41" s="165">
        <f t="shared" si="24"/>
        <v>3346.6617614406596</v>
      </c>
      <c r="AC41" s="165">
        <f t="shared" si="25"/>
        <v>1859.9116214155779</v>
      </c>
      <c r="AD41" s="172">
        <f t="shared" si="26"/>
        <v>872.421591853457</v>
      </c>
      <c r="AE41" s="173">
        <f t="shared" si="27"/>
        <v>494.1236089545368</v>
      </c>
      <c r="AF41" s="173">
        <f t="shared" si="28"/>
        <v>221.4838652012765</v>
      </c>
      <c r="AG41" s="173">
        <f t="shared" si="29"/>
        <v>54.50314309210389</v>
      </c>
      <c r="AH41" s="174">
        <f t="shared" si="30"/>
        <v>15.599523949909873</v>
      </c>
      <c r="AI41" s="28"/>
      <c r="BX41"/>
    </row>
    <row r="42" spans="1:76" ht="16.5">
      <c r="A42" s="18">
        <v>2</v>
      </c>
      <c r="B42" s="4">
        <v>-0.821585611225844</v>
      </c>
      <c r="C42" s="11">
        <v>247.8761242952973</v>
      </c>
      <c r="D42" s="4">
        <v>-0.04666387906774721</v>
      </c>
      <c r="E42" s="4">
        <f t="shared" si="2"/>
        <v>0.8229097363520455</v>
      </c>
      <c r="F42" s="83">
        <f t="shared" si="3"/>
        <v>1.5490654937088737</v>
      </c>
      <c r="G42" s="86">
        <f t="shared" si="4"/>
        <v>467.36012122610845</v>
      </c>
      <c r="H42" s="88">
        <f t="shared" si="5"/>
        <v>0.08798280286164922</v>
      </c>
      <c r="I42" s="88">
        <f t="shared" si="6"/>
        <v>1.5515620765534677</v>
      </c>
      <c r="J42" s="57">
        <f t="shared" si="7"/>
        <v>1.5513906717621748</v>
      </c>
      <c r="K42" s="11">
        <f t="shared" si="8"/>
        <v>141.9788342319041</v>
      </c>
      <c r="L42" s="11">
        <f t="shared" si="9"/>
        <v>7290.361269135477</v>
      </c>
      <c r="M42" s="15">
        <f t="shared" si="10"/>
        <v>0.11074473863799894</v>
      </c>
      <c r="N42" s="11">
        <f t="shared" si="11"/>
        <v>2179.5045786815917</v>
      </c>
      <c r="O42" s="11">
        <f t="shared" si="12"/>
        <v>5267.427594092236</v>
      </c>
      <c r="P42" s="11">
        <f t="shared" si="13"/>
        <v>333.4857865856554</v>
      </c>
      <c r="Q42" s="121">
        <f t="shared" si="14"/>
        <v>15212.868807465504</v>
      </c>
      <c r="R42" s="90">
        <f t="shared" si="15"/>
        <v>0.12001228961931404</v>
      </c>
      <c r="S42" s="28"/>
      <c r="T42" s="79">
        <f t="shared" si="16"/>
        <v>3.3688078719269154</v>
      </c>
      <c r="U42" s="80">
        <f t="shared" si="17"/>
        <v>2.4598503079507354</v>
      </c>
      <c r="V42" s="80">
        <f t="shared" si="18"/>
        <v>1.5513906717621748</v>
      </c>
      <c r="W42" s="80">
        <f t="shared" si="19"/>
        <v>0.6455345960309518</v>
      </c>
      <c r="X42" s="81">
        <f t="shared" si="20"/>
        <v>0.2838471987738913</v>
      </c>
      <c r="Y42" s="165">
        <f t="shared" si="21"/>
        <v>8328.383927472916</v>
      </c>
      <c r="Z42" s="165">
        <f t="shared" si="22"/>
        <v>7122.81104844019</v>
      </c>
      <c r="AA42" s="165">
        <f t="shared" si="23"/>
        <v>5562.815105852496</v>
      </c>
      <c r="AB42" s="165">
        <f t="shared" si="24"/>
        <v>3350.4132155508682</v>
      </c>
      <c r="AC42" s="165">
        <f t="shared" si="25"/>
        <v>1972.7146731447103</v>
      </c>
      <c r="AD42" s="172">
        <f t="shared" si="26"/>
        <v>877.1376200895697</v>
      </c>
      <c r="AE42" s="173">
        <f t="shared" si="27"/>
        <v>496.2109612743933</v>
      </c>
      <c r="AF42" s="173">
        <f t="shared" si="28"/>
        <v>222.01935056386216</v>
      </c>
      <c r="AG42" s="173">
        <f t="shared" si="29"/>
        <v>54.65335876438527</v>
      </c>
      <c r="AH42" s="174">
        <f t="shared" si="30"/>
        <v>17.407642236066334</v>
      </c>
      <c r="AI42" s="28"/>
      <c r="BX42"/>
    </row>
    <row r="43" spans="1:76" ht="16.5">
      <c r="A43" s="18">
        <v>3</v>
      </c>
      <c r="B43" s="4">
        <v>-0.8208176406045933</v>
      </c>
      <c r="C43" s="11">
        <v>248.61971105177216</v>
      </c>
      <c r="D43" s="4">
        <v>-0.08816510333209439</v>
      </c>
      <c r="E43" s="4">
        <f t="shared" si="2"/>
        <v>0.8255390266809015</v>
      </c>
      <c r="F43" s="83">
        <f t="shared" si="3"/>
        <v>1.5476175170484905</v>
      </c>
      <c r="G43" s="86">
        <f t="shared" si="4"/>
        <v>468.762123123775</v>
      </c>
      <c r="H43" s="88">
        <f t="shared" si="5"/>
        <v>0.16623163484722014</v>
      </c>
      <c r="I43" s="88">
        <f t="shared" si="6"/>
        <v>1.5565194940955012</v>
      </c>
      <c r="J43" s="57">
        <f t="shared" si="7"/>
        <v>1.5563475416463788</v>
      </c>
      <c r="K43" s="11">
        <f t="shared" si="8"/>
        <v>141.7135311107869</v>
      </c>
      <c r="L43" s="11">
        <f t="shared" si="9"/>
        <v>7283.950802700388</v>
      </c>
      <c r="M43" s="15">
        <f t="shared" si="10"/>
        <v>0.395325535951867</v>
      </c>
      <c r="N43" s="11">
        <f t="shared" si="11"/>
        <v>2191.3698072714296</v>
      </c>
      <c r="O43" s="11">
        <f t="shared" si="12"/>
        <v>5315.730407035844</v>
      </c>
      <c r="P43" s="11">
        <f t="shared" si="13"/>
        <v>335.70082813224633</v>
      </c>
      <c r="Q43" s="121">
        <f t="shared" si="14"/>
        <v>15268.860701786647</v>
      </c>
      <c r="R43" s="90">
        <f t="shared" si="15"/>
        <v>0.12045400219323076</v>
      </c>
      <c r="S43" s="28"/>
      <c r="T43" s="79">
        <f t="shared" si="16"/>
        <v>3.375761609438932</v>
      </c>
      <c r="U43" s="80">
        <f t="shared" si="17"/>
        <v>2.465166693325483</v>
      </c>
      <c r="V43" s="80">
        <f t="shared" si="18"/>
        <v>1.5563475416463788</v>
      </c>
      <c r="W43" s="80">
        <f t="shared" si="19"/>
        <v>0.6567183393845566</v>
      </c>
      <c r="X43" s="81">
        <f t="shared" si="20"/>
        <v>0.3228478690763627</v>
      </c>
      <c r="Y43" s="165">
        <f t="shared" si="21"/>
        <v>8336.512784535487</v>
      </c>
      <c r="Z43" s="165">
        <f t="shared" si="22"/>
        <v>7130.764267209789</v>
      </c>
      <c r="AA43" s="165">
        <f t="shared" si="23"/>
        <v>5572.621981776525</v>
      </c>
      <c r="AB43" s="165">
        <f t="shared" si="24"/>
        <v>3385.496854295264</v>
      </c>
      <c r="AC43" s="165">
        <f t="shared" si="25"/>
        <v>2153.256147362152</v>
      </c>
      <c r="AD43" s="172">
        <f t="shared" si="26"/>
        <v>880.4627286424364</v>
      </c>
      <c r="AE43" s="173">
        <f t="shared" si="27"/>
        <v>498.12899364533166</v>
      </c>
      <c r="AF43" s="173">
        <f t="shared" si="28"/>
        <v>223.22647735115657</v>
      </c>
      <c r="AG43" s="173">
        <f t="shared" si="29"/>
        <v>56.07409042387726</v>
      </c>
      <c r="AH43" s="174">
        <f t="shared" si="30"/>
        <v>20.611850598429797</v>
      </c>
      <c r="AI43" s="28"/>
      <c r="BX43"/>
    </row>
    <row r="44" spans="1:76" ht="16.5">
      <c r="A44" s="18">
        <v>4</v>
      </c>
      <c r="B44" s="4">
        <v>-0.8198187393907777</v>
      </c>
      <c r="C44" s="11">
        <v>249.01848455721432</v>
      </c>
      <c r="D44" s="4">
        <v>-0.12932473383011736</v>
      </c>
      <c r="E44" s="4">
        <f t="shared" si="2"/>
        <v>0.8299564158656251</v>
      </c>
      <c r="F44" s="83">
        <f t="shared" si="3"/>
        <v>1.5457341303620602</v>
      </c>
      <c r="G44" s="86">
        <f t="shared" si="4"/>
        <v>469.51399398013535</v>
      </c>
      <c r="H44" s="88">
        <f t="shared" si="5"/>
        <v>0.24383640599597897</v>
      </c>
      <c r="I44" s="88">
        <f t="shared" si="6"/>
        <v>1.564848297649069</v>
      </c>
      <c r="J44" s="57">
        <f t="shared" si="7"/>
        <v>1.5646754250970023</v>
      </c>
      <c r="K44" s="11">
        <f t="shared" si="8"/>
        <v>141.36882194219905</v>
      </c>
      <c r="L44" s="11">
        <f t="shared" si="9"/>
        <v>7271.430707893851</v>
      </c>
      <c r="M44" s="15">
        <f t="shared" si="10"/>
        <v>0.8505985012562295</v>
      </c>
      <c r="N44" s="11">
        <f t="shared" si="11"/>
        <v>2211.3557892082285</v>
      </c>
      <c r="O44" s="11">
        <f t="shared" si="12"/>
        <v>5377.9276443271465</v>
      </c>
      <c r="P44" s="11">
        <f t="shared" si="13"/>
        <v>338.50009694327366</v>
      </c>
      <c r="Q44" s="121">
        <f t="shared" si="14"/>
        <v>15341.433658815955</v>
      </c>
      <c r="R44" s="90">
        <f t="shared" si="15"/>
        <v>0.12102652055566199</v>
      </c>
      <c r="S44" s="28"/>
      <c r="T44" s="79">
        <f t="shared" si="16"/>
        <v>3.3815108379980257</v>
      </c>
      <c r="U44" s="80">
        <f t="shared" si="17"/>
        <v>2.4711932742356653</v>
      </c>
      <c r="V44" s="80">
        <f t="shared" si="18"/>
        <v>1.5646754250970023</v>
      </c>
      <c r="W44" s="80">
        <f t="shared" si="19"/>
        <v>0.6773880050036333</v>
      </c>
      <c r="X44" s="81">
        <f t="shared" si="20"/>
        <v>0.37246767495789124</v>
      </c>
      <c r="Y44" s="165">
        <f t="shared" si="21"/>
        <v>8343.22197977327</v>
      </c>
      <c r="Z44" s="165">
        <f t="shared" si="22"/>
        <v>7139.765744830089</v>
      </c>
      <c r="AA44" s="165">
        <f t="shared" si="23"/>
        <v>5589.059150385435</v>
      </c>
      <c r="AB44" s="165">
        <f t="shared" si="24"/>
        <v>3449.528706180174</v>
      </c>
      <c r="AC44" s="165">
        <f t="shared" si="25"/>
        <v>2368.062640466761</v>
      </c>
      <c r="AD44" s="172">
        <f t="shared" si="26"/>
        <v>883.2165823087079</v>
      </c>
      <c r="AE44" s="173">
        <f t="shared" si="27"/>
        <v>500.307659173551</v>
      </c>
      <c r="AF44" s="173">
        <f t="shared" si="28"/>
        <v>225.2616717899756</v>
      </c>
      <c r="AG44" s="173">
        <f t="shared" si="29"/>
        <v>58.74235047938513</v>
      </c>
      <c r="AH44" s="174">
        <f t="shared" si="30"/>
        <v>24.9722209647488</v>
      </c>
      <c r="AI44" s="28"/>
      <c r="BX44"/>
    </row>
    <row r="45" spans="1:76" ht="16.5">
      <c r="A45" s="18">
        <v>5</v>
      </c>
      <c r="B45" s="4">
        <v>-0.8183791186552796</v>
      </c>
      <c r="C45" s="11">
        <v>249.07833636928586</v>
      </c>
      <c r="D45" s="4">
        <v>-0.17029335958175434</v>
      </c>
      <c r="E45" s="4">
        <f t="shared" si="2"/>
        <v>0.8359092116782976</v>
      </c>
      <c r="F45" s="83">
        <f t="shared" si="3"/>
        <v>1.5430197853505152</v>
      </c>
      <c r="G45" s="86">
        <f t="shared" si="4"/>
        <v>469.62684208208503</v>
      </c>
      <c r="H45" s="88">
        <f t="shared" si="5"/>
        <v>0.32108104564082834</v>
      </c>
      <c r="I45" s="88">
        <f t="shared" si="6"/>
        <v>1.5760720465299034</v>
      </c>
      <c r="J45" s="57">
        <f t="shared" si="7"/>
        <v>1.5758979340633252</v>
      </c>
      <c r="K45" s="11">
        <f t="shared" si="8"/>
        <v>140.87276400418182</v>
      </c>
      <c r="L45" s="11">
        <f t="shared" si="9"/>
        <v>7249.602238300269</v>
      </c>
      <c r="M45" s="15">
        <f t="shared" si="10"/>
        <v>1.4748805673728378</v>
      </c>
      <c r="N45" s="11">
        <f t="shared" si="11"/>
        <v>2238.3904616762584</v>
      </c>
      <c r="O45" s="11">
        <f t="shared" si="12"/>
        <v>5448.419054355422</v>
      </c>
      <c r="P45" s="11">
        <f t="shared" si="13"/>
        <v>341.7485555886711</v>
      </c>
      <c r="Q45" s="121">
        <f t="shared" si="14"/>
        <v>15420.507954492175</v>
      </c>
      <c r="R45" s="90">
        <f t="shared" si="15"/>
        <v>0.12165032711011547</v>
      </c>
      <c r="S45" s="28"/>
      <c r="T45" s="79">
        <f t="shared" si="16"/>
        <v>3.3856908964291677</v>
      </c>
      <c r="U45" s="80">
        <f t="shared" si="17"/>
        <v>2.4775312620883025</v>
      </c>
      <c r="V45" s="80">
        <f t="shared" si="18"/>
        <v>1.5758979340633252</v>
      </c>
      <c r="W45" s="80">
        <f t="shared" si="19"/>
        <v>0.7062451968289324</v>
      </c>
      <c r="X45" s="81">
        <f t="shared" si="20"/>
        <v>0.42912130336479604</v>
      </c>
      <c r="Y45" s="165">
        <f t="shared" si="21"/>
        <v>8348.093410182088</v>
      </c>
      <c r="Z45" s="165">
        <f t="shared" si="22"/>
        <v>7149.21612988378</v>
      </c>
      <c r="AA45" s="165">
        <f t="shared" si="23"/>
        <v>5611.132656322214</v>
      </c>
      <c r="AB45" s="165">
        <f t="shared" si="24"/>
        <v>3537.2451139193436</v>
      </c>
      <c r="AC45" s="165">
        <f t="shared" si="25"/>
        <v>2596.4079614696852</v>
      </c>
      <c r="AD45" s="172">
        <f t="shared" si="26"/>
        <v>885.2214887202175</v>
      </c>
      <c r="AE45" s="173">
        <f t="shared" si="27"/>
        <v>502.6039574675675</v>
      </c>
      <c r="AF45" s="173">
        <f t="shared" si="28"/>
        <v>228.0184200048648</v>
      </c>
      <c r="AG45" s="173">
        <f t="shared" si="29"/>
        <v>62.55975631976742</v>
      </c>
      <c r="AH45" s="174">
        <f t="shared" si="30"/>
        <v>30.339155430937975</v>
      </c>
      <c r="AI45" s="28"/>
      <c r="BX45"/>
    </row>
    <row r="46" spans="1:76" ht="16.5">
      <c r="A46" s="18">
        <v>6</v>
      </c>
      <c r="B46" s="4">
        <v>-0.8165897522528507</v>
      </c>
      <c r="C46" s="11">
        <v>248.9262978938888</v>
      </c>
      <c r="D46" s="4">
        <v>-0.21129872517543874</v>
      </c>
      <c r="E46" s="4">
        <f t="shared" si="2"/>
        <v>0.8434844247199457</v>
      </c>
      <c r="F46" s="83">
        <f t="shared" si="3"/>
        <v>1.539646009432667</v>
      </c>
      <c r="G46" s="86">
        <f t="shared" si="4"/>
        <v>469.3401798612091</v>
      </c>
      <c r="H46" s="88">
        <f t="shared" si="5"/>
        <v>0.3983949567295568</v>
      </c>
      <c r="I46" s="88">
        <f t="shared" si="6"/>
        <v>1.5903547956067794</v>
      </c>
      <c r="J46" s="57">
        <f t="shared" si="7"/>
        <v>1.5901791052905865</v>
      </c>
      <c r="K46" s="11">
        <f t="shared" si="8"/>
        <v>140.25740760175518</v>
      </c>
      <c r="L46" s="11">
        <f t="shared" si="9"/>
        <v>7220.844801251272</v>
      </c>
      <c r="M46" s="15">
        <f t="shared" si="10"/>
        <v>2.2706760557959083</v>
      </c>
      <c r="N46" s="11">
        <f t="shared" si="11"/>
        <v>2272.9616899795637</v>
      </c>
      <c r="O46" s="11">
        <f t="shared" si="12"/>
        <v>5524.873864940547</v>
      </c>
      <c r="P46" s="11">
        <f t="shared" si="13"/>
        <v>345.5937438742816</v>
      </c>
      <c r="Q46" s="121">
        <f t="shared" si="14"/>
        <v>15506.802183703216</v>
      </c>
      <c r="R46" s="90">
        <f t="shared" si="15"/>
        <v>0.12233109075565934</v>
      </c>
      <c r="S46" s="28"/>
      <c r="T46" s="79">
        <f t="shared" si="16"/>
        <v>3.389436037443777</v>
      </c>
      <c r="U46" s="80">
        <f t="shared" si="17"/>
        <v>2.4848490471062026</v>
      </c>
      <c r="V46" s="80">
        <f t="shared" si="18"/>
        <v>1.5901791052905865</v>
      </c>
      <c r="W46" s="80">
        <f t="shared" si="19"/>
        <v>0.7422001427627675</v>
      </c>
      <c r="X46" s="81">
        <f t="shared" si="20"/>
        <v>0.49096759765539616</v>
      </c>
      <c r="Y46" s="165">
        <f t="shared" si="21"/>
        <v>8352.453283995683</v>
      </c>
      <c r="Z46" s="165">
        <f t="shared" si="22"/>
        <v>7160.106832978612</v>
      </c>
      <c r="AA46" s="165">
        <f t="shared" si="23"/>
        <v>5639.09571119036</v>
      </c>
      <c r="AB46" s="165">
        <f t="shared" si="24"/>
        <v>3643.9615208195264</v>
      </c>
      <c r="AC46" s="165">
        <f t="shared" si="25"/>
        <v>2828.7519757185514</v>
      </c>
      <c r="AD46" s="172">
        <f t="shared" si="26"/>
        <v>887.0197081201036</v>
      </c>
      <c r="AE46" s="173">
        <f t="shared" si="27"/>
        <v>505.2616907985021</v>
      </c>
      <c r="AF46" s="173">
        <f t="shared" si="28"/>
        <v>231.55001171545882</v>
      </c>
      <c r="AG46" s="173">
        <f t="shared" si="29"/>
        <v>67.46644940821996</v>
      </c>
      <c r="AH46" s="174">
        <f t="shared" si="30"/>
        <v>36.67085932912359</v>
      </c>
      <c r="AI46" s="28"/>
      <c r="BX46"/>
    </row>
    <row r="47" spans="1:76" ht="16.5">
      <c r="A47" s="18">
        <v>7</v>
      </c>
      <c r="B47" s="4">
        <v>-0.814521089821648</v>
      </c>
      <c r="C47" s="11">
        <v>248.45779899296454</v>
      </c>
      <c r="D47" s="4">
        <v>-0.25243209734431343</v>
      </c>
      <c r="E47" s="4">
        <f t="shared" si="2"/>
        <v>0.8527406226596068</v>
      </c>
      <c r="F47" s="83">
        <f t="shared" si="3"/>
        <v>1.5357456324707006</v>
      </c>
      <c r="G47" s="86">
        <f t="shared" si="4"/>
        <v>468.45684467209895</v>
      </c>
      <c r="H47" s="88">
        <f t="shared" si="5"/>
        <v>0.47595021889099864</v>
      </c>
      <c r="I47" s="88">
        <f t="shared" si="6"/>
        <v>1.6078069717833736</v>
      </c>
      <c r="J47" s="57">
        <f t="shared" si="7"/>
        <v>1.6076293534833377</v>
      </c>
      <c r="K47" s="11">
        <f t="shared" si="8"/>
        <v>139.54768104119412</v>
      </c>
      <c r="L47" s="11">
        <f t="shared" si="9"/>
        <v>7185.506055445277</v>
      </c>
      <c r="M47" s="15">
        <f t="shared" si="10"/>
        <v>3.240787671198781</v>
      </c>
      <c r="N47" s="11">
        <f t="shared" si="11"/>
        <v>2315.4587714822883</v>
      </c>
      <c r="O47" s="11">
        <f t="shared" si="12"/>
        <v>5605.011483299353</v>
      </c>
      <c r="P47" s="11">
        <f t="shared" si="13"/>
        <v>349.958369785384</v>
      </c>
      <c r="Q47" s="121">
        <f t="shared" si="14"/>
        <v>15598.723148724694</v>
      </c>
      <c r="R47" s="90">
        <f t="shared" si="15"/>
        <v>0.12305624296829334</v>
      </c>
      <c r="S47" s="28"/>
      <c r="T47" s="79">
        <f t="shared" si="16"/>
        <v>3.3921571711357354</v>
      </c>
      <c r="U47" s="80">
        <f t="shared" si="17"/>
        <v>2.4929378693289688</v>
      </c>
      <c r="V47" s="80">
        <f t="shared" si="18"/>
        <v>1.6076293534833377</v>
      </c>
      <c r="W47" s="80">
        <f t="shared" si="19"/>
        <v>0.7848114596691261</v>
      </c>
      <c r="X47" s="81">
        <f t="shared" si="20"/>
        <v>0.5559765170172644</v>
      </c>
      <c r="Y47" s="165">
        <f t="shared" si="21"/>
        <v>8355.618281402061</v>
      </c>
      <c r="Z47" s="165">
        <f t="shared" si="22"/>
        <v>7172.11938117151</v>
      </c>
      <c r="AA47" s="165">
        <f t="shared" si="23"/>
        <v>5673.073835424279</v>
      </c>
      <c r="AB47" s="165">
        <f t="shared" si="24"/>
        <v>3766.9991067663664</v>
      </c>
      <c r="AC47" s="165">
        <f t="shared" si="25"/>
        <v>3057.246811732551</v>
      </c>
      <c r="AD47" s="172">
        <f t="shared" si="26"/>
        <v>888.3273884287629</v>
      </c>
      <c r="AE47" s="173">
        <f t="shared" si="27"/>
        <v>508.2074963745767</v>
      </c>
      <c r="AF47" s="173">
        <f t="shared" si="28"/>
        <v>235.9010109595598</v>
      </c>
      <c r="AG47" s="173">
        <f t="shared" si="29"/>
        <v>73.49752501316085</v>
      </c>
      <c r="AH47" s="174">
        <f t="shared" si="30"/>
        <v>43.85842815086001</v>
      </c>
      <c r="AI47" s="28"/>
      <c r="BX47"/>
    </row>
    <row r="48" spans="1:76" ht="16.5">
      <c r="A48" s="18">
        <v>8</v>
      </c>
      <c r="B48" s="4">
        <v>-0.811908099555227</v>
      </c>
      <c r="C48" s="11">
        <v>247.71187929577997</v>
      </c>
      <c r="D48" s="4">
        <v>-0.2939766016246563</v>
      </c>
      <c r="E48" s="4">
        <f t="shared" si="2"/>
        <v>0.863491172176162</v>
      </c>
      <c r="F48" s="83">
        <f t="shared" si="3"/>
        <v>1.5308189480183398</v>
      </c>
      <c r="G48" s="86">
        <f t="shared" si="4"/>
        <v>467.0504441117699</v>
      </c>
      <c r="H48" s="88">
        <f t="shared" si="5"/>
        <v>0.5542806535463705</v>
      </c>
      <c r="I48" s="88">
        <f t="shared" si="6"/>
        <v>1.6280766856962752</v>
      </c>
      <c r="J48" s="57">
        <f t="shared" si="7"/>
        <v>1.6278968281522312</v>
      </c>
      <c r="K48" s="11">
        <f t="shared" si="8"/>
        <v>138.65377698391845</v>
      </c>
      <c r="L48" s="11">
        <f t="shared" si="9"/>
        <v>7139.8551506844</v>
      </c>
      <c r="M48" s="15">
        <f t="shared" si="10"/>
        <v>4.395284150134914</v>
      </c>
      <c r="N48" s="11">
        <f t="shared" si="11"/>
        <v>2365.1651093472046</v>
      </c>
      <c r="O48" s="11">
        <f t="shared" si="12"/>
        <v>5687.785145989481</v>
      </c>
      <c r="P48" s="11">
        <f t="shared" si="13"/>
        <v>354.80964081107135</v>
      </c>
      <c r="Q48" s="121">
        <f t="shared" si="14"/>
        <v>15690.66410796621</v>
      </c>
      <c r="R48" s="90">
        <f t="shared" si="15"/>
        <v>0.12378155291265805</v>
      </c>
      <c r="S48" s="28"/>
      <c r="T48" s="79">
        <f t="shared" si="16"/>
        <v>3.3937685577966787</v>
      </c>
      <c r="U48" s="80">
        <f t="shared" si="17"/>
        <v>2.501594672369815</v>
      </c>
      <c r="V48" s="80">
        <f t="shared" si="18"/>
        <v>1.6278968281522312</v>
      </c>
      <c r="W48" s="80">
        <f t="shared" si="19"/>
        <v>0.8329955334373105</v>
      </c>
      <c r="X48" s="81">
        <f t="shared" si="20"/>
        <v>0.6240803887996188</v>
      </c>
      <c r="Y48" s="165">
        <f t="shared" si="21"/>
        <v>8357.491407757825</v>
      </c>
      <c r="Z48" s="165">
        <f t="shared" si="22"/>
        <v>7184.945680588715</v>
      </c>
      <c r="AA48" s="165">
        <f t="shared" si="23"/>
        <v>5712.278716807787</v>
      </c>
      <c r="AB48" s="165">
        <f t="shared" si="24"/>
        <v>3901.995721905755</v>
      </c>
      <c r="AC48" s="165">
        <f t="shared" si="25"/>
        <v>3282.214202887324</v>
      </c>
      <c r="AD48" s="172">
        <f t="shared" si="26"/>
        <v>889.1022141275942</v>
      </c>
      <c r="AE48" s="173">
        <f t="shared" si="27"/>
        <v>511.36950359443176</v>
      </c>
      <c r="AF48" s="173">
        <f t="shared" si="28"/>
        <v>241.00377223351046</v>
      </c>
      <c r="AG48" s="173">
        <f t="shared" si="29"/>
        <v>80.59962125789667</v>
      </c>
      <c r="AH48" s="174">
        <f t="shared" si="30"/>
        <v>51.973092841923666</v>
      </c>
      <c r="AI48" s="28"/>
      <c r="BX48"/>
    </row>
    <row r="49" spans="1:76" ht="16.5">
      <c r="A49" s="18">
        <v>9</v>
      </c>
      <c r="B49" s="4">
        <v>-0.808983216110299</v>
      </c>
      <c r="C49" s="11">
        <v>246.684348194236</v>
      </c>
      <c r="D49" s="4">
        <v>-0.3360578703147423</v>
      </c>
      <c r="E49" s="4">
        <f t="shared" si="2"/>
        <v>0.8760072694610718</v>
      </c>
      <c r="F49" s="83">
        <f t="shared" si="3"/>
        <v>1.525304201952013</v>
      </c>
      <c r="G49" s="86">
        <f t="shared" si="4"/>
        <v>465.11307696297143</v>
      </c>
      <c r="H49" s="88">
        <f t="shared" si="5"/>
        <v>0.6336231351680269</v>
      </c>
      <c r="I49" s="88">
        <f t="shared" si="6"/>
        <v>1.6516752664832839</v>
      </c>
      <c r="J49" s="57">
        <f t="shared" si="7"/>
        <v>1.6514928019473087</v>
      </c>
      <c r="K49" s="11">
        <f t="shared" si="8"/>
        <v>137.6565812397529</v>
      </c>
      <c r="L49" s="11">
        <f t="shared" si="9"/>
        <v>7087.511505648701</v>
      </c>
      <c r="M49" s="15">
        <f t="shared" si="10"/>
        <v>5.743671171443183</v>
      </c>
      <c r="N49" s="11">
        <f t="shared" si="11"/>
        <v>2423.5021285774255</v>
      </c>
      <c r="O49" s="11">
        <f t="shared" si="12"/>
        <v>5773.041247422318</v>
      </c>
      <c r="P49" s="11">
        <f t="shared" si="13"/>
        <v>360.2836592258727</v>
      </c>
      <c r="Q49" s="121">
        <f t="shared" si="14"/>
        <v>15787.738793285513</v>
      </c>
      <c r="R49" s="90">
        <f t="shared" si="15"/>
        <v>0.12454736213619692</v>
      </c>
      <c r="S49" s="28"/>
      <c r="T49" s="79">
        <f t="shared" si="16"/>
        <v>3.3947980620576526</v>
      </c>
      <c r="U49" s="80">
        <f t="shared" si="17"/>
        <v>2.5113737223434054</v>
      </c>
      <c r="V49" s="80">
        <f t="shared" si="18"/>
        <v>1.6514928019473087</v>
      </c>
      <c r="W49" s="80">
        <f t="shared" si="19"/>
        <v>0.8865356095334225</v>
      </c>
      <c r="X49" s="81">
        <f t="shared" si="20"/>
        <v>0.6946572604803345</v>
      </c>
      <c r="Y49" s="165">
        <f t="shared" si="21"/>
        <v>8358.687705534727</v>
      </c>
      <c r="Z49" s="165">
        <f t="shared" si="22"/>
        <v>7199.397883811688</v>
      </c>
      <c r="AA49" s="165">
        <f t="shared" si="23"/>
        <v>5757.577439052398</v>
      </c>
      <c r="AB49" s="165">
        <f t="shared" si="24"/>
        <v>4047.2929764001346</v>
      </c>
      <c r="AC49" s="165">
        <f t="shared" si="25"/>
        <v>3502.25023231264</v>
      </c>
      <c r="AD49" s="172">
        <f t="shared" si="26"/>
        <v>889.5974205512897</v>
      </c>
      <c r="AE49" s="173">
        <f t="shared" si="27"/>
        <v>514.9530578189061</v>
      </c>
      <c r="AF49" s="173">
        <f t="shared" si="28"/>
        <v>247.01133152035908</v>
      </c>
      <c r="AG49" s="173">
        <f t="shared" si="29"/>
        <v>88.84256451413772</v>
      </c>
      <c r="AH49" s="174">
        <f t="shared" si="30"/>
        <v>61.01392172467105</v>
      </c>
      <c r="AI49" s="28"/>
      <c r="BX49"/>
    </row>
    <row r="50" spans="1:76" ht="16.5">
      <c r="A50" s="18">
        <v>10</v>
      </c>
      <c r="B50" s="4">
        <v>-0.805486638655367</v>
      </c>
      <c r="C50" s="11">
        <v>245.26913205326798</v>
      </c>
      <c r="D50" s="4">
        <v>-0.3788205015613247</v>
      </c>
      <c r="E50" s="4">
        <f t="shared" si="2"/>
        <v>0.8901200466540989</v>
      </c>
      <c r="F50" s="83">
        <f t="shared" si="3"/>
        <v>1.518711550611109</v>
      </c>
      <c r="G50" s="86">
        <f t="shared" si="4"/>
        <v>462.4447457992325</v>
      </c>
      <c r="H50" s="88">
        <f t="shared" si="5"/>
        <v>0.7142502975466881</v>
      </c>
      <c r="I50" s="88">
        <f t="shared" si="6"/>
        <v>1.6782843208184755</v>
      </c>
      <c r="J50" s="57">
        <f t="shared" si="7"/>
        <v>1.6780989167163212</v>
      </c>
      <c r="K50" s="11">
        <f t="shared" si="8"/>
        <v>136.46919762961872</v>
      </c>
      <c r="L50" s="11">
        <f t="shared" si="9"/>
        <v>7023.823858084006</v>
      </c>
      <c r="M50" s="15">
        <f t="shared" si="10"/>
        <v>7.29841200439339</v>
      </c>
      <c r="N50" s="11">
        <f t="shared" si="11"/>
        <v>2489.8783632571754</v>
      </c>
      <c r="O50" s="11">
        <f t="shared" si="12"/>
        <v>5859.734004184281</v>
      </c>
      <c r="P50" s="11">
        <f t="shared" si="13"/>
        <v>366.23050120682865</v>
      </c>
      <c r="Q50" s="121">
        <f t="shared" si="14"/>
        <v>15883.434336366303</v>
      </c>
      <c r="R50" s="90">
        <f t="shared" si="15"/>
        <v>0.12530229149086627</v>
      </c>
      <c r="S50" s="28"/>
      <c r="T50" s="79">
        <f t="shared" si="16"/>
        <v>3.394165373598436</v>
      </c>
      <c r="U50" s="80">
        <f t="shared" si="17"/>
        <v>2.521609553242666</v>
      </c>
      <c r="V50" s="80">
        <f t="shared" si="18"/>
        <v>1.6780989167163212</v>
      </c>
      <c r="W50" s="80">
        <f t="shared" si="19"/>
        <v>0.9449139056940818</v>
      </c>
      <c r="X50" s="81">
        <f t="shared" si="20"/>
        <v>0.7674983281241333</v>
      </c>
      <c r="Y50" s="165">
        <f t="shared" si="21"/>
        <v>8357.952552772284</v>
      </c>
      <c r="Z50" s="165">
        <f t="shared" si="22"/>
        <v>7214.483412400712</v>
      </c>
      <c r="AA50" s="165">
        <f t="shared" si="23"/>
        <v>5808.218137086593</v>
      </c>
      <c r="AB50" s="165">
        <f t="shared" si="24"/>
        <v>4200.576199694302</v>
      </c>
      <c r="AC50" s="165">
        <f t="shared" si="25"/>
        <v>3717.4397189675165</v>
      </c>
      <c r="AD50" s="172">
        <f t="shared" si="26"/>
        <v>889.2930720628557</v>
      </c>
      <c r="AE50" s="173">
        <f t="shared" si="27"/>
        <v>518.717218631995</v>
      </c>
      <c r="AF50" s="173">
        <f t="shared" si="28"/>
        <v>253.87145454441458</v>
      </c>
      <c r="AG50" s="173">
        <f t="shared" si="29"/>
        <v>98.25194285533989</v>
      </c>
      <c r="AH50" s="174">
        <f t="shared" si="30"/>
        <v>71.01881793953811</v>
      </c>
      <c r="AI50" s="28"/>
      <c r="BX50"/>
    </row>
    <row r="51" spans="1:76" ht="16.5">
      <c r="A51" s="18">
        <v>11</v>
      </c>
      <c r="B51" s="4">
        <v>-0.8015244467186982</v>
      </c>
      <c r="C51" s="11">
        <v>243.52097485084414</v>
      </c>
      <c r="D51" s="4">
        <v>-0.42258181905155917</v>
      </c>
      <c r="E51" s="4">
        <f t="shared" si="2"/>
        <v>0.9060997916789518</v>
      </c>
      <c r="F51" s="83">
        <f t="shared" si="3"/>
        <v>1.5112410025334868</v>
      </c>
      <c r="G51" s="86">
        <f t="shared" si="4"/>
        <v>459.14866811377635</v>
      </c>
      <c r="H51" s="88">
        <f t="shared" si="5"/>
        <v>0.7967604412944788</v>
      </c>
      <c r="I51" s="88">
        <f t="shared" si="6"/>
        <v>1.7084134653385845</v>
      </c>
      <c r="J51" s="57">
        <f t="shared" si="7"/>
        <v>1.7082247327974291</v>
      </c>
      <c r="K51" s="11">
        <f t="shared" si="8"/>
        <v>135.1299146827289</v>
      </c>
      <c r="L51" s="11">
        <f t="shared" si="9"/>
        <v>6950.957667471867</v>
      </c>
      <c r="M51" s="15">
        <f t="shared" si="10"/>
        <v>9.082032322099076</v>
      </c>
      <c r="N51" s="11">
        <f t="shared" si="11"/>
        <v>2565.7907942141223</v>
      </c>
      <c r="O51" s="11">
        <f t="shared" si="12"/>
        <v>5948.618286165148</v>
      </c>
      <c r="P51" s="11">
        <f t="shared" si="13"/>
        <v>372.8668308751963</v>
      </c>
      <c r="Q51" s="121">
        <f t="shared" si="14"/>
        <v>15982.445525731162</v>
      </c>
      <c r="R51" s="90">
        <f t="shared" si="15"/>
        <v>0.12608337753610824</v>
      </c>
      <c r="S51" s="28"/>
      <c r="T51" s="79">
        <f t="shared" si="16"/>
        <v>3.3927453338625777</v>
      </c>
      <c r="U51" s="80">
        <f t="shared" si="17"/>
        <v>2.5330228065606657</v>
      </c>
      <c r="V51" s="80">
        <f t="shared" si="18"/>
        <v>1.7082247327974291</v>
      </c>
      <c r="W51" s="80">
        <f t="shared" si="19"/>
        <v>1.0080686970635577</v>
      </c>
      <c r="X51" s="81">
        <f t="shared" si="20"/>
        <v>0.8430402240297818</v>
      </c>
      <c r="Y51" s="165">
        <f t="shared" si="21"/>
        <v>8356.302075438545</v>
      </c>
      <c r="Z51" s="165">
        <f t="shared" si="22"/>
        <v>7231.254082968701</v>
      </c>
      <c r="AA51" s="165">
        <f t="shared" si="23"/>
        <v>5865.0104582279155</v>
      </c>
      <c r="AB51" s="165">
        <f t="shared" si="24"/>
        <v>4360.905436040607</v>
      </c>
      <c r="AC51" s="165">
        <f t="shared" si="25"/>
        <v>3929.619378149968</v>
      </c>
      <c r="AD51" s="172">
        <f t="shared" si="26"/>
        <v>888.6101641504977</v>
      </c>
      <c r="AE51" s="173">
        <f t="shared" si="27"/>
        <v>522.9303110601269</v>
      </c>
      <c r="AF51" s="173">
        <f t="shared" si="28"/>
        <v>261.7493691677651</v>
      </c>
      <c r="AG51" s="173">
        <f t="shared" si="29"/>
        <v>108.92641327465184</v>
      </c>
      <c r="AH51" s="174">
        <f t="shared" si="30"/>
        <v>82.1178967229399</v>
      </c>
      <c r="AI51" s="28"/>
      <c r="BX51"/>
    </row>
    <row r="52" spans="1:76" ht="16.5">
      <c r="A52" s="18">
        <v>12</v>
      </c>
      <c r="B52" s="4">
        <v>-0.7970047609221869</v>
      </c>
      <c r="C52" s="11">
        <v>241.13815804634072</v>
      </c>
      <c r="D52" s="4">
        <v>-0.4676103714250752</v>
      </c>
      <c r="E52" s="4">
        <f t="shared" si="2"/>
        <v>0.924054137156979</v>
      </c>
      <c r="F52" s="83">
        <f t="shared" si="3"/>
        <v>1.5027193229737201</v>
      </c>
      <c r="G52" s="86">
        <f t="shared" si="4"/>
        <v>454.65596614912226</v>
      </c>
      <c r="H52" s="88">
        <f t="shared" si="5"/>
        <v>0.8816599037003539</v>
      </c>
      <c r="I52" s="88">
        <f t="shared" si="6"/>
        <v>1.7422656368738703</v>
      </c>
      <c r="J52" s="57">
        <f t="shared" si="7"/>
        <v>1.7420731646019723</v>
      </c>
      <c r="K52" s="11">
        <f t="shared" si="8"/>
        <v>133.61025347750822</v>
      </c>
      <c r="L52" s="11">
        <f t="shared" si="9"/>
        <v>6865.51657086795</v>
      </c>
      <c r="M52" s="15">
        <f t="shared" si="10"/>
        <v>11.120637822533741</v>
      </c>
      <c r="N52" s="11">
        <f t="shared" si="11"/>
        <v>2652.0284265617274</v>
      </c>
      <c r="O52" s="11">
        <f t="shared" si="12"/>
        <v>6039.090674090736</v>
      </c>
      <c r="P52" s="11">
        <f t="shared" si="13"/>
        <v>380.0127281696621</v>
      </c>
      <c r="Q52" s="121">
        <f t="shared" si="14"/>
        <v>16081.379290990117</v>
      </c>
      <c r="R52" s="90">
        <f t="shared" si="15"/>
        <v>0.12686385279292242</v>
      </c>
      <c r="S52" s="28"/>
      <c r="T52" s="79">
        <f t="shared" si="16"/>
        <v>3.388560706992405</v>
      </c>
      <c r="U52" s="80">
        <f t="shared" si="17"/>
        <v>2.5447893967710185</v>
      </c>
      <c r="V52" s="80">
        <f t="shared" si="18"/>
        <v>1.7420731646019723</v>
      </c>
      <c r="W52" s="80">
        <f t="shared" si="19"/>
        <v>1.076541302364774</v>
      </c>
      <c r="X52" s="81">
        <f t="shared" si="20"/>
        <v>0.9210428157968258</v>
      </c>
      <c r="Y52" s="165">
        <f t="shared" si="21"/>
        <v>8351.434673547385</v>
      </c>
      <c r="Z52" s="165">
        <f t="shared" si="22"/>
        <v>7248.488836034378</v>
      </c>
      <c r="AA52" s="165">
        <f t="shared" si="23"/>
        <v>5928.142158903548</v>
      </c>
      <c r="AB52" s="165">
        <f t="shared" si="24"/>
        <v>4528.87236692142</v>
      </c>
      <c r="AC52" s="165">
        <f t="shared" si="25"/>
        <v>4138.515335046945</v>
      </c>
      <c r="AD52" s="172">
        <f t="shared" si="26"/>
        <v>886.5992584774574</v>
      </c>
      <c r="AE52" s="173">
        <f t="shared" si="27"/>
        <v>527.2914321807702</v>
      </c>
      <c r="AF52" s="173">
        <f t="shared" si="28"/>
        <v>270.7404637225392</v>
      </c>
      <c r="AG52" s="173">
        <f t="shared" si="29"/>
        <v>121.0812184143876</v>
      </c>
      <c r="AH52" s="174">
        <f t="shared" si="30"/>
        <v>94.35126805315596</v>
      </c>
      <c r="AI52" s="28"/>
      <c r="BX52"/>
    </row>
    <row r="53" spans="1:76" ht="16.5">
      <c r="A53" s="18">
        <v>13</v>
      </c>
      <c r="B53" s="4">
        <v>-0.7918310116276626</v>
      </c>
      <c r="C53" s="11">
        <v>238.16823057209103</v>
      </c>
      <c r="D53" s="4">
        <v>-0.5142884104791888</v>
      </c>
      <c r="E53" s="4">
        <f t="shared" si="2"/>
        <v>0.9441869095303631</v>
      </c>
      <c r="F53" s="83">
        <f t="shared" si="3"/>
        <v>1.492964433896135</v>
      </c>
      <c r="G53" s="86">
        <f t="shared" si="4"/>
        <v>449.05629143924773</v>
      </c>
      <c r="H53" s="88">
        <f t="shared" si="5"/>
        <v>0.9696694046272709</v>
      </c>
      <c r="I53" s="88">
        <f t="shared" si="6"/>
        <v>1.7802251417023107</v>
      </c>
      <c r="J53" s="57">
        <f t="shared" si="7"/>
        <v>1.7800284759526905</v>
      </c>
      <c r="K53" s="11">
        <f t="shared" si="8"/>
        <v>131.88122420424605</v>
      </c>
      <c r="L53" s="11">
        <f t="shared" si="9"/>
        <v>6766.671631871286</v>
      </c>
      <c r="M53" s="15">
        <f t="shared" si="10"/>
        <v>13.451629650555239</v>
      </c>
      <c r="N53" s="11">
        <f t="shared" si="11"/>
        <v>2749.9015792695427</v>
      </c>
      <c r="O53" s="11">
        <f t="shared" si="12"/>
        <v>6131.960690263955</v>
      </c>
      <c r="P53" s="11">
        <f t="shared" si="13"/>
        <v>387.88247986063175</v>
      </c>
      <c r="Q53" s="121">
        <f t="shared" si="14"/>
        <v>16181.749235120216</v>
      </c>
      <c r="R53" s="90">
        <f t="shared" si="15"/>
        <v>0.127655657872981</v>
      </c>
      <c r="S53" s="28"/>
      <c r="T53" s="79">
        <f t="shared" si="16"/>
        <v>3.3822791571967357</v>
      </c>
      <c r="U53" s="80">
        <f t="shared" si="17"/>
        <v>2.557476892680104</v>
      </c>
      <c r="V53" s="80">
        <f t="shared" si="18"/>
        <v>1.7800284759526905</v>
      </c>
      <c r="W53" s="80">
        <f t="shared" si="19"/>
        <v>1.1503270200411697</v>
      </c>
      <c r="X53" s="81">
        <f t="shared" si="20"/>
        <v>1.0024673012600955</v>
      </c>
      <c r="Y53" s="165">
        <f t="shared" si="21"/>
        <v>8344.117792909195</v>
      </c>
      <c r="Z53" s="165">
        <f t="shared" si="22"/>
        <v>7267.010047754353</v>
      </c>
      <c r="AA53" s="165">
        <f t="shared" si="23"/>
        <v>5998.10065342881</v>
      </c>
      <c r="AB53" s="165">
        <f t="shared" si="24"/>
        <v>4703.6723161038935</v>
      </c>
      <c r="AC53" s="165">
        <f t="shared" si="25"/>
        <v>4346.902641123524</v>
      </c>
      <c r="AD53" s="172">
        <f t="shared" si="26"/>
        <v>883.5849267110256</v>
      </c>
      <c r="AE53" s="173">
        <f t="shared" si="27"/>
        <v>532.0138922063654</v>
      </c>
      <c r="AF53" s="173">
        <f t="shared" si="28"/>
        <v>280.9983004141256</v>
      </c>
      <c r="AG53" s="173">
        <f t="shared" si="29"/>
        <v>134.8564188723656</v>
      </c>
      <c r="AH53" s="174">
        <f t="shared" si="30"/>
        <v>107.95886109927656</v>
      </c>
      <c r="AI53" s="28"/>
      <c r="BX53"/>
    </row>
    <row r="54" spans="1:76" ht="16.5">
      <c r="A54" s="18">
        <v>14</v>
      </c>
      <c r="B54" s="4">
        <v>-0.7860744857851696</v>
      </c>
      <c r="C54" s="11">
        <v>234.15578260976827</v>
      </c>
      <c r="D54" s="4">
        <v>-0.5627596874814667</v>
      </c>
      <c r="E54" s="4">
        <f t="shared" si="2"/>
        <v>0.96675310346368</v>
      </c>
      <c r="F54" s="83">
        <f t="shared" si="3"/>
        <v>1.4821107438796504</v>
      </c>
      <c r="G54" s="86">
        <f t="shared" si="4"/>
        <v>441.4909877158015</v>
      </c>
      <c r="H54" s="88">
        <f t="shared" si="5"/>
        <v>1.061059981110472</v>
      </c>
      <c r="I54" s="88">
        <f t="shared" si="6"/>
        <v>1.8227727616567144</v>
      </c>
      <c r="J54" s="57">
        <f t="shared" si="7"/>
        <v>1.822571395569268</v>
      </c>
      <c r="K54" s="11">
        <f t="shared" si="8"/>
        <v>129.97066981990164</v>
      </c>
      <c r="L54" s="11">
        <f t="shared" si="9"/>
        <v>6652.647673063909</v>
      </c>
      <c r="M54" s="15">
        <f t="shared" si="10"/>
        <v>16.106730284367647</v>
      </c>
      <c r="N54" s="11">
        <f t="shared" si="11"/>
        <v>2861.0543497191393</v>
      </c>
      <c r="O54" s="11">
        <f t="shared" si="12"/>
        <v>6226.525902135495</v>
      </c>
      <c r="P54" s="11">
        <f t="shared" si="13"/>
        <v>396.275029015745</v>
      </c>
      <c r="Q54" s="121">
        <f t="shared" si="14"/>
        <v>16282.580354038557</v>
      </c>
      <c r="R54" s="90">
        <f t="shared" si="15"/>
        <v>0.12845110109933217</v>
      </c>
      <c r="S54" s="28"/>
      <c r="T54" s="79">
        <f t="shared" si="16"/>
        <v>3.3713285617138395</v>
      </c>
      <c r="U54" s="80">
        <f t="shared" si="17"/>
        <v>2.5701848970967647</v>
      </c>
      <c r="V54" s="80">
        <f t="shared" si="18"/>
        <v>1.822571395569268</v>
      </c>
      <c r="W54" s="80">
        <f t="shared" si="19"/>
        <v>1.2302863614120527</v>
      </c>
      <c r="X54" s="81">
        <f t="shared" si="20"/>
        <v>1.0869059401125318</v>
      </c>
      <c r="Y54" s="165">
        <f t="shared" si="21"/>
        <v>8331.332367718604</v>
      </c>
      <c r="Z54" s="165">
        <f t="shared" si="22"/>
        <v>7285.496580550018</v>
      </c>
      <c r="AA54" s="165">
        <f t="shared" si="23"/>
        <v>6075.495712487003</v>
      </c>
      <c r="AB54" s="165">
        <f t="shared" si="24"/>
        <v>4886.503914387879</v>
      </c>
      <c r="AC54" s="165">
        <f t="shared" si="25"/>
        <v>4553.800935533971</v>
      </c>
      <c r="AD54" s="172">
        <f t="shared" si="26"/>
        <v>878.3422318112116</v>
      </c>
      <c r="AE54" s="173">
        <f t="shared" si="27"/>
        <v>536.7648081907902</v>
      </c>
      <c r="AF54" s="173">
        <f t="shared" si="28"/>
        <v>292.7169466521024</v>
      </c>
      <c r="AG54" s="173">
        <f t="shared" si="29"/>
        <v>150.57735704437945</v>
      </c>
      <c r="AH54" s="174">
        <f t="shared" si="30"/>
        <v>122.9738013802416</v>
      </c>
      <c r="AI54" s="28"/>
      <c r="BX54"/>
    </row>
    <row r="55" spans="1:76" ht="16.5">
      <c r="A55" s="18">
        <v>15</v>
      </c>
      <c r="B55" s="4">
        <v>-0.7797235727397585</v>
      </c>
      <c r="C55" s="11">
        <v>228.70524440167958</v>
      </c>
      <c r="D55" s="4">
        <v>-0.6155142377819834</v>
      </c>
      <c r="E55" s="4">
        <f t="shared" si="2"/>
        <v>0.9933914771118129</v>
      </c>
      <c r="F55" s="83">
        <f t="shared" si="3"/>
        <v>1.4701363615173386</v>
      </c>
      <c r="G55" s="86">
        <f t="shared" si="4"/>
        <v>431.21422465553536</v>
      </c>
      <c r="H55" s="88">
        <f t="shared" si="5"/>
        <v>1.160526491222217</v>
      </c>
      <c r="I55" s="88">
        <f t="shared" si="6"/>
        <v>1.8729983070691731</v>
      </c>
      <c r="J55" s="57">
        <f t="shared" si="7"/>
        <v>1.8727913924450235</v>
      </c>
      <c r="K55" s="11">
        <f t="shared" si="8"/>
        <v>127.87901568534076</v>
      </c>
      <c r="L55" s="11">
        <f t="shared" si="9"/>
        <v>6521.1392033219445</v>
      </c>
      <c r="M55" s="15">
        <f t="shared" si="10"/>
        <v>19.26804417066761</v>
      </c>
      <c r="N55" s="11">
        <f t="shared" si="11"/>
        <v>2994.202538817569</v>
      </c>
      <c r="O55" s="11">
        <f t="shared" si="12"/>
        <v>6327.899531195136</v>
      </c>
      <c r="P55" s="11">
        <f t="shared" si="13"/>
        <v>405.85084166963645</v>
      </c>
      <c r="Q55" s="121">
        <f t="shared" si="14"/>
        <v>16396.239174860293</v>
      </c>
      <c r="R55" s="90">
        <f t="shared" si="15"/>
        <v>0.12934774035224902</v>
      </c>
      <c r="S55" s="28"/>
      <c r="T55" s="79">
        <f t="shared" si="16"/>
        <v>3.3551298100110793</v>
      </c>
      <c r="U55" s="80">
        <f t="shared" si="17"/>
        <v>2.584205219764573</v>
      </c>
      <c r="V55" s="80">
        <f t="shared" si="18"/>
        <v>1.8727913924450235</v>
      </c>
      <c r="W55" s="80">
        <f t="shared" si="19"/>
        <v>1.3208289015985717</v>
      </c>
      <c r="X55" s="81">
        <f t="shared" si="20"/>
        <v>1.1789150863841826</v>
      </c>
      <c r="Y55" s="165">
        <f t="shared" si="21"/>
        <v>8312.349481480322</v>
      </c>
      <c r="Z55" s="165">
        <f t="shared" si="22"/>
        <v>7305.8174958128</v>
      </c>
      <c r="AA55" s="165">
        <f t="shared" si="23"/>
        <v>6165.510893674084</v>
      </c>
      <c r="AB55" s="165">
        <f t="shared" si="24"/>
        <v>5086.0246776062495</v>
      </c>
      <c r="AC55" s="165">
        <f t="shared" si="25"/>
        <v>4769.795107402223</v>
      </c>
      <c r="AD55" s="172">
        <f t="shared" si="26"/>
        <v>870.6153106110424</v>
      </c>
      <c r="AE55" s="173">
        <f t="shared" si="27"/>
        <v>542.0305156504727</v>
      </c>
      <c r="AF55" s="173">
        <f t="shared" si="28"/>
        <v>306.8508513481185</v>
      </c>
      <c r="AG55" s="173">
        <f t="shared" si="29"/>
        <v>169.3751198973598</v>
      </c>
      <c r="AH55" s="174">
        <f t="shared" si="30"/>
        <v>140.38241084118866</v>
      </c>
      <c r="AI55" s="28"/>
      <c r="BX55"/>
    </row>
    <row r="56" spans="1:76" ht="16.5">
      <c r="A56" s="15">
        <v>15.673373548625944</v>
      </c>
      <c r="B56" s="4">
        <v>-0.7724384853461057</v>
      </c>
      <c r="C56" s="11">
        <v>221.49363573046517</v>
      </c>
      <c r="D56" s="4">
        <v>-0.6088285186356931</v>
      </c>
      <c r="E56" s="4">
        <f t="shared" si="2"/>
        <v>0.9835310766559023</v>
      </c>
      <c r="F56" s="83">
        <f t="shared" si="3"/>
        <v>1.4564006322811325</v>
      </c>
      <c r="G56" s="86">
        <f t="shared" si="4"/>
        <v>417.6170364939244</v>
      </c>
      <c r="H56" s="88">
        <f t="shared" si="5"/>
        <v>1.147920845883937</v>
      </c>
      <c r="I56" s="88">
        <f t="shared" si="6"/>
        <v>1.8544069321817624</v>
      </c>
      <c r="J56" s="57">
        <f t="shared" si="7"/>
        <v>1.854202071391475</v>
      </c>
      <c r="K56" s="11">
        <f t="shared" si="8"/>
        <v>125.50058890794901</v>
      </c>
      <c r="L56" s="11">
        <f t="shared" si="9"/>
        <v>6365.968777104288</v>
      </c>
      <c r="M56" s="15">
        <f t="shared" si="10"/>
        <v>18.851738265138057</v>
      </c>
      <c r="N56" s="11">
        <f t="shared" si="11"/>
        <v>2944.674617137578</v>
      </c>
      <c r="O56" s="11">
        <f t="shared" si="12"/>
        <v>6282.5534874948735</v>
      </c>
      <c r="P56" s="11">
        <f t="shared" si="13"/>
        <v>394.44579273079546</v>
      </c>
      <c r="Q56" s="121">
        <f t="shared" si="14"/>
        <v>16131.995001640624</v>
      </c>
      <c r="R56" s="90">
        <f>Q56*J$29*(A56-A55)</f>
        <v>0.08569564119550334</v>
      </c>
      <c r="S56" s="28"/>
      <c r="T56" s="79">
        <f t="shared" si="16"/>
        <v>3.28825415874889</v>
      </c>
      <c r="U56" s="80">
        <f t="shared" si="17"/>
        <v>2.5426429213804393</v>
      </c>
      <c r="V56" s="80">
        <f t="shared" si="18"/>
        <v>1.854202071391475</v>
      </c>
      <c r="W56" s="80">
        <f t="shared" si="19"/>
        <v>1.3159454016973953</v>
      </c>
      <c r="X56" s="81">
        <f t="shared" si="20"/>
        <v>1.1601611792049846</v>
      </c>
      <c r="Y56" s="165">
        <f t="shared" si="21"/>
        <v>8233.0900389078</v>
      </c>
      <c r="Z56" s="165">
        <f t="shared" si="22"/>
        <v>7245.349013252449</v>
      </c>
      <c r="AA56" s="165">
        <f t="shared" si="23"/>
        <v>6132.358228144911</v>
      </c>
      <c r="AB56" s="165">
        <f t="shared" si="24"/>
        <v>5075.454441356404</v>
      </c>
      <c r="AC56" s="165">
        <f t="shared" si="25"/>
        <v>4726.5157158128</v>
      </c>
      <c r="AD56" s="172">
        <f t="shared" si="26"/>
        <v>839.0735963571962</v>
      </c>
      <c r="AE56" s="173">
        <f t="shared" si="27"/>
        <v>526.4945389722628</v>
      </c>
      <c r="AF56" s="173">
        <f t="shared" si="28"/>
        <v>301.5811394704952</v>
      </c>
      <c r="AG56" s="173">
        <f t="shared" si="29"/>
        <v>168.33425438905076</v>
      </c>
      <c r="AH56" s="174">
        <f t="shared" si="30"/>
        <v>136.74543446497233</v>
      </c>
      <c r="AI56" s="28"/>
      <c r="BX56"/>
    </row>
    <row r="57" spans="2:76" ht="6" customHeight="1">
      <c r="B57" s="4"/>
      <c r="D57" s="4"/>
      <c r="E57" s="4"/>
      <c r="F57" s="83"/>
      <c r="G57" s="86"/>
      <c r="H57" s="88"/>
      <c r="I57" s="88"/>
      <c r="J57" s="57"/>
      <c r="L57" s="11"/>
      <c r="M57" s="15"/>
      <c r="N57" s="11"/>
      <c r="O57" s="11"/>
      <c r="P57" s="11"/>
      <c r="Q57" s="121"/>
      <c r="R57" s="90"/>
      <c r="S57" s="28"/>
      <c r="T57" s="79"/>
      <c r="U57" s="80"/>
      <c r="V57" s="80"/>
      <c r="W57" s="80"/>
      <c r="X57" s="81"/>
      <c r="Y57" s="165"/>
      <c r="Z57" s="165"/>
      <c r="AA57" s="165"/>
      <c r="AB57" s="165"/>
      <c r="AC57" s="165"/>
      <c r="AD57" s="172"/>
      <c r="AE57" s="173"/>
      <c r="AF57" s="173"/>
      <c r="AG57" s="173"/>
      <c r="AH57" s="174"/>
      <c r="AI57" s="28"/>
      <c r="BX57"/>
    </row>
    <row r="58" spans="1:76" ht="16.5">
      <c r="A58" s="15">
        <f>I25</f>
        <v>17.081863443783423</v>
      </c>
      <c r="B58" s="4">
        <v>-0.7697157603408762</v>
      </c>
      <c r="C58" s="11">
        <v>221.1340494294688</v>
      </c>
      <c r="D58" s="4">
        <v>-0.471884695094082</v>
      </c>
      <c r="E58" s="4">
        <f aca="true" t="shared" si="31" ref="E58:E77">SQRT(B58^2+D58^2)</f>
        <v>0.9028496647732489</v>
      </c>
      <c r="F58" s="83">
        <f aca="true" t="shared" si="32" ref="F58:F77">-B58*$E$29*(1-$E$33)/$E$30/$E$34</f>
        <v>1.4512670475434857</v>
      </c>
      <c r="G58" s="86">
        <f aca="true" t="shared" si="33" ref="G58:G77">C58*$E$29*(1-$E$33)/$E$30/$E$34</f>
        <v>416.93905148144006</v>
      </c>
      <c r="H58" s="88">
        <f aca="true" t="shared" si="34" ref="H58:H77">-D58*$E$29*(1-$E$33)/$E$30/$E$34</f>
        <v>0.8897189631752664</v>
      </c>
      <c r="I58" s="88">
        <f aca="true" t="shared" si="35" ref="I58:I77">E58*$E$29*(1-$E$33)/$E$30/$E$34</f>
        <v>1.70228548625642</v>
      </c>
      <c r="J58" s="57">
        <f aca="true" t="shared" si="36" ref="J58:J77">E58*E$29/E$30</f>
        <v>1.7020974306878407</v>
      </c>
      <c r="K58" s="11">
        <f aca="true" t="shared" si="37" ref="K58:K77">L$33*E$14/120*F58^2/E$8*E$7*E$10*(E$10-1)*E$5/E$6</f>
        <v>124.61740824782206</v>
      </c>
      <c r="L58" s="11">
        <f aca="true" t="shared" si="38" ref="L58:L77">L$34*E$14/6*F58^2/E$9*E$7*E$5/E$6*(1+(G58*E$5/F58)^2/15)</f>
        <v>6323.942690424484</v>
      </c>
      <c r="M58" s="15">
        <f aca="true" t="shared" si="39" ref="M58:M77">L$35*E$14/8*H58^2/E$9*E$7*E$6/E$5</f>
        <v>11.324869608957568</v>
      </c>
      <c r="N58" s="11">
        <f aca="true" t="shared" si="40" ref="N58:N77">E$14*E$15*(E$12/E$11)^2*J58*(1-E$33)/E$34^2*(E$20/2/PI())^2/E$19*LN((E$18+E$19*J58)/(E$18+E$19*E$33*J58))</f>
        <v>2550.2864142087396</v>
      </c>
      <c r="O58" s="11">
        <f aca="true" t="shared" si="41" ref="O58:O77">(Y58+Z58+AA58+AB58+AC58)/5</f>
        <v>5946.614669785785</v>
      </c>
      <c r="P58" s="11">
        <f aca="true" t="shared" si="42" ref="P58:P77">(AD58+AE58+AF58+AG58+AH58)/5</f>
        <v>352.15832431037904</v>
      </c>
      <c r="Q58" s="121">
        <f aca="true" t="shared" si="43" ref="Q58:Q77">SUM(K58:P58)</f>
        <v>15308.944376586167</v>
      </c>
      <c r="R58" s="90">
        <f>Q58*J$29*(A59-A58)</f>
        <v>0.11088355108275451</v>
      </c>
      <c r="S58" s="28"/>
      <c r="T58" s="79">
        <f aca="true" t="shared" si="44" ref="T58:T77">SQRT(($B58-$C58*0.8*$E$5)^2+$D58^2)*$E$29/$E$30</f>
        <v>3.199808643884961</v>
      </c>
      <c r="U58" s="80">
        <f aca="true" t="shared" si="45" ref="U58:U77">SQRT(($B58-$C58*0.4*$E$5)^2+$D58^2)*$E$29/$E$30</f>
        <v>2.431006045932853</v>
      </c>
      <c r="V58" s="80">
        <f aca="true" t="shared" si="46" ref="V58:V77">SQRT(($B58)^2+$D58^2)*$E$29/$E$30</f>
        <v>1.7020974306878407</v>
      </c>
      <c r="W58" s="80">
        <f aca="true" t="shared" si="47" ref="W58:W77">SQRT(($B58+$C58*0.4*$E$5)^2+$D58^2)*$E$29/$E$30</f>
        <v>1.0958152955936964</v>
      </c>
      <c r="X58" s="81">
        <f aca="true" t="shared" si="48" ref="X58:X77">SQRT(($B58+$C58*0.8*$E$5)^2+$D58^2)*$E$29/$E$30</f>
        <v>0.905989454061658</v>
      </c>
      <c r="Y58" s="165">
        <f aca="true" t="shared" si="49" ref="Y58:Y77">$L$36*$E$14*$E$15*$E$17/$E$34*2/3*$E$21/PI()*($E$22*$E$23*LN((T58+$E$23)/($E$33*T58+$E$23))+$E$24*T58*(1-$E$33)+$E$25*T58^2/2*(1-$E$33^2))</f>
        <v>8126.038478248027</v>
      </c>
      <c r="Z58" s="165">
        <f aca="true" t="shared" si="50" ref="Z58:Z77">$L$36*$E$14*$E$15*$E$17/$E$34*2/3*$E$21/PI()*($E$22*$E$23*LN((U58+$E$23)/($E$33*U58+$E$23))+$E$24*U58*(1-$E$33)+$E$25*U58^2/2*(1-$E$33^2))</f>
        <v>7079.455030452101</v>
      </c>
      <c r="AA58" s="165">
        <f aca="true" t="shared" si="51" ref="AA58:AA77">$L$36*$E$14*$E$15*$E$17/$E$34*2/3*$E$21/PI()*($E$22*$E$23*LN((V58+$E$23)/($E$33*V58+$E$23))+$E$24*V58*(1-$E$33)+$E$25*V58^2/2*(1-$E$33^2))</f>
        <v>5853.505963990102</v>
      </c>
      <c r="AB58" s="165">
        <f aca="true" t="shared" si="52" ref="AB58:AB77">$L$36*$E$14*$E$15*$E$17/$E$34*2/3*$E$21/PI()*($E$22*$E$23*LN((W58+$E$23)/($E$33*W58+$E$23))+$E$24*W58*(1-$E$33)+$E$25*W58^2/2*(1-$E$33^2))</f>
        <v>4575.129131356908</v>
      </c>
      <c r="AC58" s="165">
        <f aca="true" t="shared" si="53" ref="AC58:AC77">$L$36*$E$14*$E$15*$E$17/$E$34*2/3*$E$21/PI()*($E$22*$E$23*LN((X58+$E$23)/($E$33*X58+$E$23))+$E$24*X58*(1-$E$33)+$E$25*X58^2/2*(1-$E$33^2))</f>
        <v>4098.944744881784</v>
      </c>
      <c r="AD58" s="172">
        <f aca="true" t="shared" si="54" ref="AD58:AD77">1/9/PI()*$E$21/$E$34*$E$28^2*T58*(3*T58+4*$E$27)/($E$26*$E$27*$E$14*$E$15*$E$17*16*$E$5^2*$E$6^2)</f>
        <v>798.244862246064</v>
      </c>
      <c r="AE58" s="173">
        <f aca="true" t="shared" si="55" ref="AE58:AE77">1/9/PI()*$E$21/$E$34*$E$28^2*U58*(3*U58+4*$E$27)/($E$26*$E$27*$E$14*$E$15*$E$17*16*$E$5^2*$E$6^2)</f>
        <v>485.8681741601157</v>
      </c>
      <c r="AF58" s="173">
        <f aca="true" t="shared" si="56" ref="AF58:AF77">1/9/PI()*$E$21/$E$34*$E$28^2*V58*(3*V58+4*$E$27)/($E$26*$E$27*$E$14*$E$15*$E$17*16*$E$5^2*$E$6^2)</f>
        <v>260.13758940352284</v>
      </c>
      <c r="AG58" s="173">
        <f aca="true" t="shared" si="57" ref="AG58:AG77">1/9/PI()*$E$21/$E$34*$E$28^2*W58*(3*W58+4*$E$27)/($E$26*$E$27*$E$14*$E$15*$E$17*16*$E$5^2*$E$6^2)</f>
        <v>124.61172915340816</v>
      </c>
      <c r="AH58" s="174">
        <f aca="true" t="shared" si="58" ref="AH58:AH77">1/9/PI()*$E$21/$E$34*$E$28^2*X58*(3*X58+4*$E$27)/($E$26*$E$27*$E$14*$E$15*$E$17*16*$E$5^2*$E$6^2)</f>
        <v>91.92926658878464</v>
      </c>
      <c r="AI58" s="28"/>
      <c r="BX58"/>
    </row>
    <row r="59" spans="1:76" ht="16.5">
      <c r="A59" s="18">
        <v>18</v>
      </c>
      <c r="B59" s="4">
        <v>-0.7688376834784396</v>
      </c>
      <c r="C59" s="11">
        <v>227.4487999096361</v>
      </c>
      <c r="D59" s="4">
        <v>-0.4725847095030641</v>
      </c>
      <c r="E59" s="4">
        <f t="shared" si="31"/>
        <v>0.9024675568642835</v>
      </c>
      <c r="F59" s="83">
        <f t="shared" si="32"/>
        <v>1.4496114701455376</v>
      </c>
      <c r="G59" s="86">
        <f t="shared" si="33"/>
        <v>428.8452508312724</v>
      </c>
      <c r="H59" s="88">
        <f t="shared" si="34"/>
        <v>0.8910388112242545</v>
      </c>
      <c r="I59" s="88">
        <f t="shared" si="35"/>
        <v>1.7015650376889624</v>
      </c>
      <c r="J59" s="57">
        <f t="shared" si="36"/>
        <v>1.7013770617100676</v>
      </c>
      <c r="K59" s="11">
        <f t="shared" si="37"/>
        <v>124.33324816101029</v>
      </c>
      <c r="L59" s="11">
        <f t="shared" si="38"/>
        <v>6353.395686686154</v>
      </c>
      <c r="M59" s="15">
        <f t="shared" si="39"/>
        <v>11.358494144960337</v>
      </c>
      <c r="N59" s="11">
        <f t="shared" si="40"/>
        <v>2548.465766865533</v>
      </c>
      <c r="O59" s="11">
        <f t="shared" si="41"/>
        <v>5962.818930747896</v>
      </c>
      <c r="P59" s="11">
        <f t="shared" si="42"/>
        <v>357.4485858355007</v>
      </c>
      <c r="Q59" s="121">
        <f t="shared" si="43"/>
        <v>15357.820712441055</v>
      </c>
      <c r="R59" s="90">
        <f aca="true" t="shared" si="59" ref="R59:R76">Q59*J$29</f>
        <v>0.12115579583243935</v>
      </c>
      <c r="S59" s="28"/>
      <c r="T59" s="79">
        <f t="shared" si="44"/>
        <v>3.243111672981924</v>
      </c>
      <c r="U59" s="80">
        <f t="shared" si="45"/>
        <v>2.4515173650049262</v>
      </c>
      <c r="V59" s="80">
        <f t="shared" si="46"/>
        <v>1.7013770617100676</v>
      </c>
      <c r="W59" s="80">
        <f t="shared" si="47"/>
        <v>1.0825954318253301</v>
      </c>
      <c r="X59" s="81">
        <f t="shared" si="48"/>
        <v>0.9175643190579971</v>
      </c>
      <c r="Y59" s="165">
        <f t="shared" si="49"/>
        <v>8178.770786572367</v>
      </c>
      <c r="Z59" s="165">
        <f t="shared" si="50"/>
        <v>7110.321455640019</v>
      </c>
      <c r="AA59" s="165">
        <f t="shared" si="51"/>
        <v>5852.151862705323</v>
      </c>
      <c r="AB59" s="165">
        <f t="shared" si="52"/>
        <v>4543.4488082402395</v>
      </c>
      <c r="AC59" s="165">
        <f t="shared" si="53"/>
        <v>4129.401740581536</v>
      </c>
      <c r="AD59" s="172">
        <f t="shared" si="54"/>
        <v>818.1085341061399</v>
      </c>
      <c r="AE59" s="173">
        <f t="shared" si="55"/>
        <v>493.21196120901664</v>
      </c>
      <c r="AF59" s="173">
        <f t="shared" si="56"/>
        <v>259.9484154427565</v>
      </c>
      <c r="AG59" s="173">
        <f t="shared" si="57"/>
        <v>122.1850187720396</v>
      </c>
      <c r="AH59" s="174">
        <f t="shared" si="58"/>
        <v>93.78899964755075</v>
      </c>
      <c r="AI59" s="28"/>
      <c r="BX59"/>
    </row>
    <row r="60" spans="1:76" ht="16.5">
      <c r="A60" s="18">
        <v>19</v>
      </c>
      <c r="B60" s="4">
        <v>-0.7670354695833996</v>
      </c>
      <c r="C60" s="11">
        <v>231.74178888809186</v>
      </c>
      <c r="D60" s="4">
        <v>-0.5261554631417936</v>
      </c>
      <c r="E60" s="4">
        <f t="shared" si="31"/>
        <v>0.9301521289514859</v>
      </c>
      <c r="F60" s="83">
        <f t="shared" si="32"/>
        <v>1.4462134708148</v>
      </c>
      <c r="G60" s="86">
        <f t="shared" si="33"/>
        <v>436.93950297071285</v>
      </c>
      <c r="H60" s="88">
        <f t="shared" si="34"/>
        <v>0.9920442387778339</v>
      </c>
      <c r="I60" s="88">
        <f t="shared" si="35"/>
        <v>1.7537631467386015</v>
      </c>
      <c r="J60" s="57">
        <f t="shared" si="36"/>
        <v>1.753569404309158</v>
      </c>
      <c r="K60" s="11">
        <f t="shared" si="37"/>
        <v>123.75103818943977</v>
      </c>
      <c r="L60" s="11">
        <f t="shared" si="38"/>
        <v>6356.630337759381</v>
      </c>
      <c r="M60" s="15">
        <f t="shared" si="39"/>
        <v>14.079576598058578</v>
      </c>
      <c r="N60" s="11">
        <f t="shared" si="40"/>
        <v>2681.5431072293495</v>
      </c>
      <c r="O60" s="11">
        <f t="shared" si="41"/>
        <v>6100.018707055808</v>
      </c>
      <c r="P60" s="11">
        <f t="shared" si="42"/>
        <v>375.4230225732192</v>
      </c>
      <c r="Q60" s="121">
        <f t="shared" si="43"/>
        <v>15651.445789405256</v>
      </c>
      <c r="R60" s="90">
        <f t="shared" si="59"/>
        <v>0.12347216483700398</v>
      </c>
      <c r="S60" s="28"/>
      <c r="T60" s="79">
        <f t="shared" si="44"/>
        <v>3.2990883092260073</v>
      </c>
      <c r="U60" s="80">
        <f t="shared" si="45"/>
        <v>2.501333854157296</v>
      </c>
      <c r="V60" s="80">
        <f t="shared" si="46"/>
        <v>1.753569404309158</v>
      </c>
      <c r="W60" s="80">
        <f t="shared" si="47"/>
        <v>1.157146269664757</v>
      </c>
      <c r="X60" s="81">
        <f t="shared" si="48"/>
        <v>1.0240198000835012</v>
      </c>
      <c r="Y60" s="165">
        <f t="shared" si="49"/>
        <v>8246.028158699803</v>
      </c>
      <c r="Z60" s="165">
        <f t="shared" si="50"/>
        <v>7184.559689253976</v>
      </c>
      <c r="AA60" s="165">
        <f t="shared" si="51"/>
        <v>5949.423786965317</v>
      </c>
      <c r="AB60" s="165">
        <f t="shared" si="52"/>
        <v>4719.523459340292</v>
      </c>
      <c r="AC60" s="165">
        <f t="shared" si="53"/>
        <v>4400.5584410196525</v>
      </c>
      <c r="AD60" s="172">
        <f t="shared" si="54"/>
        <v>844.1443188659882</v>
      </c>
      <c r="AE60" s="173">
        <f t="shared" si="55"/>
        <v>511.2740951425095</v>
      </c>
      <c r="AF60" s="173">
        <f t="shared" si="56"/>
        <v>273.8278220417925</v>
      </c>
      <c r="AG60" s="173">
        <f t="shared" si="57"/>
        <v>136.1649825865802</v>
      </c>
      <c r="AH60" s="174">
        <f t="shared" si="58"/>
        <v>111.7038942292258</v>
      </c>
      <c r="AI60" s="28"/>
      <c r="BX60"/>
    </row>
    <row r="61" spans="1:76" ht="16.5">
      <c r="A61" s="18">
        <v>20</v>
      </c>
      <c r="B61" s="4">
        <v>-0.7645686420397677</v>
      </c>
      <c r="C61" s="11">
        <v>234.49299316708385</v>
      </c>
      <c r="D61" s="4">
        <v>-0.5768430116951416</v>
      </c>
      <c r="E61" s="4">
        <f t="shared" si="31"/>
        <v>0.9577646206307977</v>
      </c>
      <c r="F61" s="83">
        <f t="shared" si="32"/>
        <v>1.4415623700961917</v>
      </c>
      <c r="G61" s="86">
        <f t="shared" si="33"/>
        <v>442.12678419436025</v>
      </c>
      <c r="H61" s="88">
        <f t="shared" si="34"/>
        <v>1.0876135030782776</v>
      </c>
      <c r="I61" s="88">
        <f t="shared" si="35"/>
        <v>1.8058253511775586</v>
      </c>
      <c r="J61" s="57">
        <f t="shared" si="36"/>
        <v>1.8056258573112756</v>
      </c>
      <c r="K61" s="11">
        <f t="shared" si="37"/>
        <v>122.9563380868742</v>
      </c>
      <c r="L61" s="11">
        <f t="shared" si="38"/>
        <v>6340.063160169999</v>
      </c>
      <c r="M61" s="15">
        <f t="shared" si="39"/>
        <v>16.92297441840687</v>
      </c>
      <c r="N61" s="11">
        <f t="shared" si="40"/>
        <v>2816.5983542473696</v>
      </c>
      <c r="O61" s="11">
        <f t="shared" si="41"/>
        <v>6225.047992241278</v>
      </c>
      <c r="P61" s="11">
        <f t="shared" si="42"/>
        <v>392.3206548278373</v>
      </c>
      <c r="Q61" s="121">
        <f t="shared" si="43"/>
        <v>15913.909473991765</v>
      </c>
      <c r="R61" s="90">
        <f t="shared" si="59"/>
        <v>0.12554270578018825</v>
      </c>
      <c r="S61" s="28"/>
      <c r="T61" s="79">
        <f t="shared" si="44"/>
        <v>3.3437552261560777</v>
      </c>
      <c r="U61" s="80">
        <f t="shared" si="45"/>
        <v>2.5456637395531603</v>
      </c>
      <c r="V61" s="80">
        <f t="shared" si="46"/>
        <v>1.8056258573112756</v>
      </c>
      <c r="W61" s="80">
        <f t="shared" si="47"/>
        <v>1.2330213289282443</v>
      </c>
      <c r="X61" s="81">
        <f t="shared" si="48"/>
        <v>1.1227530707499611</v>
      </c>
      <c r="Y61" s="165">
        <f t="shared" si="49"/>
        <v>8298.969887627109</v>
      </c>
      <c r="Z61" s="165">
        <f t="shared" si="50"/>
        <v>7249.767276351058</v>
      </c>
      <c r="AA61" s="165">
        <f t="shared" si="51"/>
        <v>6044.795223687365</v>
      </c>
      <c r="AB61" s="165">
        <f t="shared" si="52"/>
        <v>4892.6438411539375</v>
      </c>
      <c r="AC61" s="165">
        <f t="shared" si="53"/>
        <v>4639.06373238692</v>
      </c>
      <c r="AD61" s="172">
        <f t="shared" si="54"/>
        <v>865.2097880721955</v>
      </c>
      <c r="AE61" s="173">
        <f t="shared" si="55"/>
        <v>527.6162081440856</v>
      </c>
      <c r="AF61" s="173">
        <f t="shared" si="56"/>
        <v>288.021232413659</v>
      </c>
      <c r="AG61" s="173">
        <f t="shared" si="57"/>
        <v>151.12967585614206</v>
      </c>
      <c r="AH61" s="174">
        <f t="shared" si="58"/>
        <v>129.6263696531043</v>
      </c>
      <c r="AI61" s="28"/>
      <c r="BX61"/>
    </row>
    <row r="62" spans="1:76" ht="16.5">
      <c r="A62" s="18">
        <v>21</v>
      </c>
      <c r="B62" s="4">
        <v>-0.7616067160810989</v>
      </c>
      <c r="C62" s="11">
        <v>236.30574107714503</v>
      </c>
      <c r="D62" s="4">
        <v>-0.62632377474028</v>
      </c>
      <c r="E62" s="4">
        <f t="shared" si="31"/>
        <v>0.986066052952209</v>
      </c>
      <c r="F62" s="83">
        <f t="shared" si="32"/>
        <v>1.4359777819110984</v>
      </c>
      <c r="G62" s="86">
        <f t="shared" si="33"/>
        <v>445.5446449722272</v>
      </c>
      <c r="H62" s="88">
        <f t="shared" si="34"/>
        <v>1.1809074235027668</v>
      </c>
      <c r="I62" s="88">
        <f t="shared" si="35"/>
        <v>1.8591865245386923</v>
      </c>
      <c r="J62" s="57">
        <f t="shared" si="36"/>
        <v>1.858981135735351</v>
      </c>
      <c r="K62" s="11">
        <f t="shared" si="37"/>
        <v>122.00552184529468</v>
      </c>
      <c r="L62" s="11">
        <f t="shared" si="38"/>
        <v>6310.089678079196</v>
      </c>
      <c r="M62" s="15">
        <f t="shared" si="39"/>
        <v>19.95074977318595</v>
      </c>
      <c r="N62" s="11">
        <f t="shared" si="40"/>
        <v>2957.3805385028454</v>
      </c>
      <c r="O62" s="11">
        <f t="shared" si="41"/>
        <v>6343.749214519453</v>
      </c>
      <c r="P62" s="11">
        <f t="shared" si="42"/>
        <v>409.05904735649756</v>
      </c>
      <c r="Q62" s="121">
        <f t="shared" si="43"/>
        <v>16162.234750076472</v>
      </c>
      <c r="R62" s="90">
        <f t="shared" si="59"/>
        <v>0.12750171070755928</v>
      </c>
      <c r="S62" s="28"/>
      <c r="T62" s="79">
        <f t="shared" si="44"/>
        <v>3.38247720860339</v>
      </c>
      <c r="U62" s="80">
        <f t="shared" si="45"/>
        <v>2.587838236374995</v>
      </c>
      <c r="V62" s="80">
        <f t="shared" si="46"/>
        <v>1.858981135735351</v>
      </c>
      <c r="W62" s="80">
        <f t="shared" si="47"/>
        <v>1.3106732784518529</v>
      </c>
      <c r="X62" s="81">
        <f t="shared" si="48"/>
        <v>1.217812578818245</v>
      </c>
      <c r="Y62" s="165">
        <f t="shared" si="49"/>
        <v>8344.34867836095</v>
      </c>
      <c r="Z62" s="165">
        <f t="shared" si="50"/>
        <v>7311.070422181912</v>
      </c>
      <c r="AA62" s="165">
        <f t="shared" si="51"/>
        <v>6140.899946875255</v>
      </c>
      <c r="AB62" s="165">
        <f t="shared" si="52"/>
        <v>5064.019282547144</v>
      </c>
      <c r="AC62" s="165">
        <f t="shared" si="53"/>
        <v>4858.407742632001</v>
      </c>
      <c r="AD62" s="172">
        <f t="shared" si="54"/>
        <v>883.679888043267</v>
      </c>
      <c r="AE62" s="173">
        <f t="shared" si="55"/>
        <v>543.3991302896021</v>
      </c>
      <c r="AF62" s="173">
        <f t="shared" si="56"/>
        <v>302.93165314446355</v>
      </c>
      <c r="AG62" s="173">
        <f t="shared" si="57"/>
        <v>167.21401252279585</v>
      </c>
      <c r="AH62" s="174">
        <f t="shared" si="58"/>
        <v>148.07055278235933</v>
      </c>
      <c r="AI62" s="28"/>
      <c r="BX62"/>
    </row>
    <row r="63" spans="1:76" ht="16.5">
      <c r="A63" s="18">
        <v>22</v>
      </c>
      <c r="B63" s="4">
        <v>-0.7579205845403099</v>
      </c>
      <c r="C63" s="11">
        <v>237.4021344915991</v>
      </c>
      <c r="D63" s="4">
        <v>-0.6748782498644672</v>
      </c>
      <c r="E63" s="4">
        <f t="shared" si="31"/>
        <v>1.0148419899718633</v>
      </c>
      <c r="F63" s="83">
        <f t="shared" si="32"/>
        <v>1.4290277342263675</v>
      </c>
      <c r="G63" s="86">
        <f t="shared" si="33"/>
        <v>447.6118491474883</v>
      </c>
      <c r="H63" s="88">
        <f t="shared" si="34"/>
        <v>1.2724548665839588</v>
      </c>
      <c r="I63" s="88">
        <f t="shared" si="35"/>
        <v>1.913442356769952</v>
      </c>
      <c r="J63" s="57">
        <f t="shared" si="36"/>
        <v>1.913230974194437</v>
      </c>
      <c r="K63" s="11">
        <f t="shared" si="37"/>
        <v>120.82738078300093</v>
      </c>
      <c r="L63" s="11">
        <f t="shared" si="38"/>
        <v>6264.931273137199</v>
      </c>
      <c r="M63" s="15">
        <f t="shared" si="39"/>
        <v>23.16393247872452</v>
      </c>
      <c r="N63" s="11">
        <f t="shared" si="40"/>
        <v>3102.9175753323457</v>
      </c>
      <c r="O63" s="11">
        <f t="shared" si="41"/>
        <v>6457.030824117825</v>
      </c>
      <c r="P63" s="11">
        <f t="shared" si="42"/>
        <v>425.7437637286741</v>
      </c>
      <c r="Q63" s="121">
        <f t="shared" si="43"/>
        <v>16394.61474957777</v>
      </c>
      <c r="R63" s="90">
        <f t="shared" si="59"/>
        <v>0.1293349254782145</v>
      </c>
      <c r="S63" s="28"/>
      <c r="T63" s="79">
        <f t="shared" si="44"/>
        <v>3.4165255417186486</v>
      </c>
      <c r="U63" s="80">
        <f t="shared" si="45"/>
        <v>2.628304522679319</v>
      </c>
      <c r="V63" s="80">
        <f t="shared" si="46"/>
        <v>1.913230974194437</v>
      </c>
      <c r="W63" s="80">
        <f t="shared" si="47"/>
        <v>1.3892627783314437</v>
      </c>
      <c r="X63" s="81">
        <f t="shared" si="48"/>
        <v>1.310259357477437</v>
      </c>
      <c r="Y63" s="165">
        <f t="shared" si="49"/>
        <v>8383.857216383434</v>
      </c>
      <c r="Z63" s="165">
        <f t="shared" si="50"/>
        <v>7369.228269794116</v>
      </c>
      <c r="AA63" s="165">
        <f t="shared" si="51"/>
        <v>6236.966311248338</v>
      </c>
      <c r="AB63" s="165">
        <f t="shared" si="52"/>
        <v>5231.981877339508</v>
      </c>
      <c r="AC63" s="165">
        <f t="shared" si="53"/>
        <v>5063.120445823725</v>
      </c>
      <c r="AD63" s="172">
        <f t="shared" si="54"/>
        <v>900.0805544069116</v>
      </c>
      <c r="AE63" s="173">
        <f t="shared" si="55"/>
        <v>558.7585572433848</v>
      </c>
      <c r="AF63" s="173">
        <f t="shared" si="56"/>
        <v>318.46870508276817</v>
      </c>
      <c r="AG63" s="173">
        <f t="shared" si="57"/>
        <v>184.28478912082613</v>
      </c>
      <c r="AH63" s="174">
        <f t="shared" si="58"/>
        <v>167.12621278948004</v>
      </c>
      <c r="AI63" s="28"/>
      <c r="BX63"/>
    </row>
    <row r="64" spans="1:76" ht="16.5">
      <c r="A64" s="18">
        <v>23</v>
      </c>
      <c r="B64" s="4">
        <v>-0.7536309780371777</v>
      </c>
      <c r="C64" s="11">
        <v>237.89539745988625</v>
      </c>
      <c r="D64" s="4">
        <v>-0.7229495947682708</v>
      </c>
      <c r="E64" s="4">
        <f t="shared" si="31"/>
        <v>1.044325508466053</v>
      </c>
      <c r="F64" s="83">
        <f t="shared" si="32"/>
        <v>1.420939859603446</v>
      </c>
      <c r="G64" s="86">
        <f t="shared" si="33"/>
        <v>448.5418759554772</v>
      </c>
      <c r="H64" s="88">
        <f t="shared" si="34"/>
        <v>1.3630913877318327</v>
      </c>
      <c r="I64" s="88">
        <f t="shared" si="35"/>
        <v>1.9690323044375262</v>
      </c>
      <c r="J64" s="57">
        <f t="shared" si="36"/>
        <v>1.9688147807068994</v>
      </c>
      <c r="K64" s="11">
        <f t="shared" si="37"/>
        <v>119.46355662762349</v>
      </c>
      <c r="L64" s="11">
        <f t="shared" si="38"/>
        <v>6207.189985036495</v>
      </c>
      <c r="M64" s="15">
        <f t="shared" si="39"/>
        <v>26.581376321010897</v>
      </c>
      <c r="N64" s="11">
        <f t="shared" si="40"/>
        <v>3254.4839091560843</v>
      </c>
      <c r="O64" s="11">
        <f t="shared" si="41"/>
        <v>6566.490048034083</v>
      </c>
      <c r="P64" s="11">
        <f t="shared" si="42"/>
        <v>442.6234980051504</v>
      </c>
      <c r="Q64" s="121">
        <f t="shared" si="43"/>
        <v>16616.83237318045</v>
      </c>
      <c r="R64" s="90">
        <f t="shared" si="59"/>
        <v>0.13108797062307456</v>
      </c>
      <c r="S64" s="28"/>
      <c r="T64" s="79">
        <f t="shared" si="44"/>
        <v>3.447195728145276</v>
      </c>
      <c r="U64" s="80">
        <f t="shared" si="45"/>
        <v>2.667953225419645</v>
      </c>
      <c r="V64" s="80">
        <f t="shared" si="46"/>
        <v>1.9688147807068994</v>
      </c>
      <c r="W64" s="80">
        <f t="shared" si="47"/>
        <v>1.468989472818525</v>
      </c>
      <c r="X64" s="81">
        <f t="shared" si="48"/>
        <v>1.4010958941457805</v>
      </c>
      <c r="Y64" s="165">
        <f t="shared" si="49"/>
        <v>8419.133180820205</v>
      </c>
      <c r="Z64" s="165">
        <f t="shared" si="50"/>
        <v>7425.591130676449</v>
      </c>
      <c r="AA64" s="165">
        <f t="shared" si="51"/>
        <v>6333.7278809382515</v>
      </c>
      <c r="AB64" s="165">
        <f t="shared" si="52"/>
        <v>5397.176707960365</v>
      </c>
      <c r="AC64" s="165">
        <f t="shared" si="53"/>
        <v>5256.821339775144</v>
      </c>
      <c r="AD64" s="172">
        <f t="shared" si="54"/>
        <v>914.9820771220378</v>
      </c>
      <c r="AE64" s="173">
        <f t="shared" si="55"/>
        <v>574.0126073971751</v>
      </c>
      <c r="AF64" s="173">
        <f t="shared" si="56"/>
        <v>334.781698056254</v>
      </c>
      <c r="AG64" s="173">
        <f t="shared" si="57"/>
        <v>202.41695875051497</v>
      </c>
      <c r="AH64" s="174">
        <f t="shared" si="58"/>
        <v>186.92414869976994</v>
      </c>
      <c r="AI64" s="28"/>
      <c r="BX64"/>
    </row>
    <row r="65" spans="1:76" ht="16.5">
      <c r="A65" s="18">
        <v>24</v>
      </c>
      <c r="B65" s="4">
        <v>-0.7488749448917655</v>
      </c>
      <c r="C65" s="11">
        <v>237.88242897712766</v>
      </c>
      <c r="D65" s="4">
        <v>-0.770882918956559</v>
      </c>
      <c r="E65" s="4">
        <f t="shared" si="31"/>
        <v>1.074743763799367</v>
      </c>
      <c r="F65" s="83">
        <f t="shared" si="32"/>
        <v>1.411972556948886</v>
      </c>
      <c r="G65" s="86">
        <f t="shared" si="33"/>
        <v>448.51742442069786</v>
      </c>
      <c r="H65" s="88">
        <f t="shared" si="34"/>
        <v>1.4534676765619778</v>
      </c>
      <c r="I65" s="88">
        <f t="shared" si="35"/>
        <v>2.0263846595321553</v>
      </c>
      <c r="J65" s="57">
        <f t="shared" si="36"/>
        <v>2.0261607999490328</v>
      </c>
      <c r="K65" s="11">
        <f t="shared" si="37"/>
        <v>117.96048726745121</v>
      </c>
      <c r="L65" s="11">
        <f t="shared" si="38"/>
        <v>6139.61108993253</v>
      </c>
      <c r="M65" s="15">
        <f t="shared" si="39"/>
        <v>30.22304879015889</v>
      </c>
      <c r="N65" s="11">
        <f t="shared" si="40"/>
        <v>3413.399225987785</v>
      </c>
      <c r="O65" s="11">
        <f t="shared" si="41"/>
        <v>6673.438014702823</v>
      </c>
      <c r="P65" s="11">
        <f t="shared" si="42"/>
        <v>459.9456432230528</v>
      </c>
      <c r="Q65" s="121">
        <f t="shared" si="43"/>
        <v>16834.577509903804</v>
      </c>
      <c r="R65" s="90">
        <f t="shared" si="59"/>
        <v>0.13280573291645714</v>
      </c>
      <c r="S65" s="28"/>
      <c r="T65" s="79">
        <f t="shared" si="44"/>
        <v>3.47568000515109</v>
      </c>
      <c r="U65" s="80">
        <f t="shared" si="45"/>
        <v>2.7076192470486555</v>
      </c>
      <c r="V65" s="80">
        <f t="shared" si="46"/>
        <v>2.0261607999490328</v>
      </c>
      <c r="W65" s="80">
        <f t="shared" si="47"/>
        <v>1.5500736430868058</v>
      </c>
      <c r="X65" s="81">
        <f t="shared" si="48"/>
        <v>1.4911083536132523</v>
      </c>
      <c r="Y65" s="165">
        <f t="shared" si="49"/>
        <v>8451.631227510816</v>
      </c>
      <c r="Z65" s="165">
        <f t="shared" si="50"/>
        <v>7481.373057486554</v>
      </c>
      <c r="AA65" s="165">
        <f t="shared" si="51"/>
        <v>6431.8472141588245</v>
      </c>
      <c r="AB65" s="165">
        <f t="shared" si="52"/>
        <v>5560.2065127299375</v>
      </c>
      <c r="AC65" s="165">
        <f t="shared" si="53"/>
        <v>5442.132061627985</v>
      </c>
      <c r="AD65" s="172">
        <f t="shared" si="54"/>
        <v>928.9302613689498</v>
      </c>
      <c r="AE65" s="173">
        <f t="shared" si="55"/>
        <v>589.476308173503</v>
      </c>
      <c r="AF65" s="173">
        <f t="shared" si="56"/>
        <v>352.0297122333683</v>
      </c>
      <c r="AG65" s="173">
        <f t="shared" si="57"/>
        <v>221.69915293993878</v>
      </c>
      <c r="AH65" s="174">
        <f t="shared" si="58"/>
        <v>207.59278139950402</v>
      </c>
      <c r="AI65" s="28"/>
      <c r="BX65"/>
    </row>
    <row r="66" spans="1:76" ht="16.5">
      <c r="A66" s="18">
        <v>25</v>
      </c>
      <c r="B66" s="4">
        <v>-0.7435059454395301</v>
      </c>
      <c r="C66" s="11">
        <v>237.38808390302393</v>
      </c>
      <c r="D66" s="4">
        <v>-0.8189315282179058</v>
      </c>
      <c r="E66" s="4">
        <f t="shared" si="31"/>
        <v>1.1060967131373476</v>
      </c>
      <c r="F66" s="83">
        <f t="shared" si="32"/>
        <v>1.4018495318209379</v>
      </c>
      <c r="G66" s="86">
        <f t="shared" si="33"/>
        <v>447.58535734720505</v>
      </c>
      <c r="H66" s="88">
        <f t="shared" si="34"/>
        <v>1.544061330601755</v>
      </c>
      <c r="I66" s="88">
        <f t="shared" si="35"/>
        <v>2.0854993412912517</v>
      </c>
      <c r="J66" s="57">
        <f t="shared" si="36"/>
        <v>2.0852689511671714</v>
      </c>
      <c r="K66" s="11">
        <f t="shared" si="37"/>
        <v>116.27513381290213</v>
      </c>
      <c r="L66" s="11">
        <f t="shared" si="38"/>
        <v>6060.4385905566805</v>
      </c>
      <c r="M66" s="15">
        <f t="shared" si="39"/>
        <v>34.10802789859074</v>
      </c>
      <c r="N66" s="11">
        <f t="shared" si="40"/>
        <v>3579.8428679205817</v>
      </c>
      <c r="O66" s="11">
        <f t="shared" si="41"/>
        <v>6778.373675977346</v>
      </c>
      <c r="P66" s="11">
        <f t="shared" si="42"/>
        <v>477.77841792103766</v>
      </c>
      <c r="Q66" s="121">
        <f t="shared" si="43"/>
        <v>17046.81671408714</v>
      </c>
      <c r="R66" s="90">
        <f t="shared" si="59"/>
        <v>0.13448005964361093</v>
      </c>
      <c r="S66" s="28"/>
      <c r="T66" s="79">
        <f t="shared" si="44"/>
        <v>3.5021734375520346</v>
      </c>
      <c r="U66" s="80">
        <f t="shared" si="45"/>
        <v>2.747418311078639</v>
      </c>
      <c r="V66" s="80">
        <f t="shared" si="46"/>
        <v>2.0852689511671714</v>
      </c>
      <c r="W66" s="80">
        <f t="shared" si="47"/>
        <v>1.6325858184640527</v>
      </c>
      <c r="X66" s="81">
        <f t="shared" si="48"/>
        <v>1.580910163132148</v>
      </c>
      <c r="Y66" s="165">
        <f t="shared" si="49"/>
        <v>8481.631209788551</v>
      </c>
      <c r="Z66" s="165">
        <f t="shared" si="50"/>
        <v>7536.741471062228</v>
      </c>
      <c r="AA66" s="165">
        <f t="shared" si="51"/>
        <v>6531.223039032131</v>
      </c>
      <c r="AB66" s="165">
        <f t="shared" si="52"/>
        <v>5721.309809953895</v>
      </c>
      <c r="AC66" s="165">
        <f t="shared" si="53"/>
        <v>5620.96285004992</v>
      </c>
      <c r="AD66" s="172">
        <f t="shared" si="54"/>
        <v>941.9975456242968</v>
      </c>
      <c r="AE66" s="173">
        <f t="shared" si="55"/>
        <v>605.1959296649892</v>
      </c>
      <c r="AF66" s="173">
        <f t="shared" si="56"/>
        <v>370.25184339269316</v>
      </c>
      <c r="AG66" s="173">
        <f t="shared" si="57"/>
        <v>242.19187397537533</v>
      </c>
      <c r="AH66" s="174">
        <f t="shared" si="58"/>
        <v>229.2548969478333</v>
      </c>
      <c r="AI66" s="28"/>
      <c r="BX66"/>
    </row>
    <row r="67" spans="1:76" ht="16.5">
      <c r="A67" s="18">
        <v>26</v>
      </c>
      <c r="B67" s="4">
        <v>-0.7379026729240881</v>
      </c>
      <c r="C67" s="11">
        <v>236.44602626135057</v>
      </c>
      <c r="D67" s="4">
        <v>-0.8674766866019769</v>
      </c>
      <c r="E67" s="4">
        <f t="shared" si="31"/>
        <v>1.1388661714646098</v>
      </c>
      <c r="F67" s="83">
        <f t="shared" si="32"/>
        <v>1.3912847945775877</v>
      </c>
      <c r="G67" s="86">
        <f t="shared" si="33"/>
        <v>445.80914685147405</v>
      </c>
      <c r="H67" s="88">
        <f t="shared" si="34"/>
        <v>1.6355912073570151</v>
      </c>
      <c r="I67" s="88">
        <f t="shared" si="35"/>
        <v>2.147284791825802</v>
      </c>
      <c r="J67" s="57">
        <f t="shared" si="36"/>
        <v>2.147047576114519</v>
      </c>
      <c r="K67" s="11">
        <f t="shared" si="37"/>
        <v>114.52917269280135</v>
      </c>
      <c r="L67" s="11">
        <f t="shared" si="38"/>
        <v>5975.394173629463</v>
      </c>
      <c r="M67" s="15">
        <f t="shared" si="39"/>
        <v>38.27163804406527</v>
      </c>
      <c r="N67" s="11">
        <f t="shared" si="40"/>
        <v>3756.613094184127</v>
      </c>
      <c r="O67" s="11">
        <f t="shared" si="41"/>
        <v>6882.806860260402</v>
      </c>
      <c r="P67" s="11">
        <f t="shared" si="42"/>
        <v>496.4842714144582</v>
      </c>
      <c r="Q67" s="121">
        <f t="shared" si="43"/>
        <v>17264.09921022532</v>
      </c>
      <c r="R67" s="90">
        <f t="shared" si="59"/>
        <v>0.1361941722272247</v>
      </c>
      <c r="S67" s="28"/>
      <c r="T67" s="79">
        <f t="shared" si="44"/>
        <v>3.527977108252523</v>
      </c>
      <c r="U67" s="80">
        <f t="shared" si="45"/>
        <v>2.788503278452127</v>
      </c>
      <c r="V67" s="80">
        <f t="shared" si="46"/>
        <v>2.147047576114519</v>
      </c>
      <c r="W67" s="80">
        <f t="shared" si="47"/>
        <v>1.7172101667637363</v>
      </c>
      <c r="X67" s="81">
        <f t="shared" si="48"/>
        <v>1.6711501794126058</v>
      </c>
      <c r="Y67" s="165">
        <f t="shared" si="49"/>
        <v>8510.641232545939</v>
      </c>
      <c r="Z67" s="165">
        <f t="shared" si="50"/>
        <v>7593.27603244378</v>
      </c>
      <c r="AA67" s="165">
        <f t="shared" si="51"/>
        <v>6633.241816761209</v>
      </c>
      <c r="AB67" s="165">
        <f t="shared" si="52"/>
        <v>5881.838774194941</v>
      </c>
      <c r="AC67" s="165">
        <f t="shared" si="53"/>
        <v>5795.036445356142</v>
      </c>
      <c r="AD67" s="172">
        <f t="shared" si="54"/>
        <v>954.811688061673</v>
      </c>
      <c r="AE67" s="173">
        <f t="shared" si="55"/>
        <v>621.637859189231</v>
      </c>
      <c r="AF67" s="173">
        <f t="shared" si="56"/>
        <v>389.7790926838136</v>
      </c>
      <c r="AG67" s="173">
        <f t="shared" si="57"/>
        <v>264.12173873729375</v>
      </c>
      <c r="AH67" s="174">
        <f t="shared" si="58"/>
        <v>252.07097840027973</v>
      </c>
      <c r="AI67" s="28"/>
      <c r="BX67"/>
    </row>
    <row r="68" spans="1:76" ht="16.5">
      <c r="A68" s="18">
        <v>27</v>
      </c>
      <c r="B68" s="4">
        <v>-0.7316515309435765</v>
      </c>
      <c r="C68" s="11">
        <v>235.02302523518713</v>
      </c>
      <c r="D68" s="4">
        <v>-0.9167679179694548</v>
      </c>
      <c r="E68" s="4">
        <f t="shared" si="31"/>
        <v>1.17293536827488</v>
      </c>
      <c r="F68" s="83">
        <f t="shared" si="32"/>
        <v>1.3794985264078745</v>
      </c>
      <c r="G68" s="86">
        <f t="shared" si="33"/>
        <v>443.1261376105343</v>
      </c>
      <c r="H68" s="88">
        <f t="shared" si="34"/>
        <v>1.7285277736874</v>
      </c>
      <c r="I68" s="88">
        <f t="shared" si="35"/>
        <v>2.211520845203639</v>
      </c>
      <c r="J68" s="57">
        <f t="shared" si="36"/>
        <v>2.211276533181168</v>
      </c>
      <c r="K68" s="11">
        <f t="shared" si="37"/>
        <v>112.5969244141826</v>
      </c>
      <c r="L68" s="11">
        <f t="shared" si="38"/>
        <v>5878.639832746761</v>
      </c>
      <c r="M68" s="15">
        <f t="shared" si="39"/>
        <v>42.744499912568216</v>
      </c>
      <c r="N68" s="11">
        <f t="shared" si="40"/>
        <v>3943.368155666371</v>
      </c>
      <c r="O68" s="11">
        <f t="shared" si="41"/>
        <v>6986.726902875424</v>
      </c>
      <c r="P68" s="11">
        <f t="shared" si="42"/>
        <v>516.038208060015</v>
      </c>
      <c r="Q68" s="121">
        <f t="shared" si="43"/>
        <v>17480.11452367532</v>
      </c>
      <c r="R68" s="90">
        <f t="shared" si="59"/>
        <v>0.13789828817590405</v>
      </c>
      <c r="S68" s="28"/>
      <c r="T68" s="79">
        <f t="shared" si="44"/>
        <v>3.5525678480777634</v>
      </c>
      <c r="U68" s="80">
        <f t="shared" si="45"/>
        <v>2.8305129641753735</v>
      </c>
      <c r="V68" s="80">
        <f t="shared" si="46"/>
        <v>2.211276533181168</v>
      </c>
      <c r="W68" s="80">
        <f t="shared" si="47"/>
        <v>1.8040396649448889</v>
      </c>
      <c r="X68" s="81">
        <f t="shared" si="48"/>
        <v>1.7624554632259752</v>
      </c>
      <c r="Y68" s="165">
        <f t="shared" si="49"/>
        <v>8538.096719091822</v>
      </c>
      <c r="Z68" s="165">
        <f t="shared" si="50"/>
        <v>7650.437329783332</v>
      </c>
      <c r="AA68" s="165">
        <f t="shared" si="51"/>
        <v>6737.369043674097</v>
      </c>
      <c r="AB68" s="165">
        <f t="shared" si="52"/>
        <v>6041.912919958175</v>
      </c>
      <c r="AC68" s="165">
        <f t="shared" si="53"/>
        <v>5965.818501869687</v>
      </c>
      <c r="AD68" s="172">
        <f t="shared" si="54"/>
        <v>967.1034431275477</v>
      </c>
      <c r="AE68" s="173">
        <f t="shared" si="55"/>
        <v>638.6750812723678</v>
      </c>
      <c r="AF68" s="173">
        <f t="shared" si="56"/>
        <v>410.603038370705</v>
      </c>
      <c r="AG68" s="173">
        <f t="shared" si="57"/>
        <v>287.5835851947205</v>
      </c>
      <c r="AH68" s="174">
        <f t="shared" si="58"/>
        <v>276.2258923347335</v>
      </c>
      <c r="AI68" s="28"/>
      <c r="BX68"/>
    </row>
    <row r="69" spans="1:76" ht="16.5">
      <c r="A69" s="18">
        <v>28</v>
      </c>
      <c r="B69" s="4">
        <v>-0.725054795017682</v>
      </c>
      <c r="C69" s="11">
        <v>233.10995497958777</v>
      </c>
      <c r="D69" s="4">
        <v>-0.9671283960386144</v>
      </c>
      <c r="E69" s="4">
        <f t="shared" si="31"/>
        <v>1.208735616337318</v>
      </c>
      <c r="F69" s="83">
        <f t="shared" si="32"/>
        <v>1.3670606552301334</v>
      </c>
      <c r="G69" s="86">
        <f t="shared" si="33"/>
        <v>439.5191232233566</v>
      </c>
      <c r="H69" s="88">
        <f t="shared" si="34"/>
        <v>1.8234803601953606</v>
      </c>
      <c r="I69" s="88">
        <f t="shared" si="35"/>
        <v>2.279020723709296</v>
      </c>
      <c r="J69" s="57">
        <f t="shared" si="36"/>
        <v>2.2787689548130317</v>
      </c>
      <c r="K69" s="11">
        <f t="shared" si="37"/>
        <v>110.57567893306557</v>
      </c>
      <c r="L69" s="11">
        <f t="shared" si="38"/>
        <v>5774.54161908019</v>
      </c>
      <c r="M69" s="15">
        <f t="shared" si="39"/>
        <v>47.569621563636474</v>
      </c>
      <c r="N69" s="11">
        <f t="shared" si="40"/>
        <v>4142.803707670317</v>
      </c>
      <c r="O69" s="11">
        <f t="shared" si="41"/>
        <v>7091.261982895509</v>
      </c>
      <c r="P69" s="11">
        <f t="shared" si="42"/>
        <v>536.773569366784</v>
      </c>
      <c r="Q69" s="121">
        <f t="shared" si="43"/>
        <v>17703.526179509503</v>
      </c>
      <c r="R69" s="90">
        <f t="shared" si="59"/>
        <v>0.1396607528815186</v>
      </c>
      <c r="S69" s="28"/>
      <c r="T69" s="79">
        <f t="shared" si="44"/>
        <v>3.5769121186622583</v>
      </c>
      <c r="U69" s="80">
        <f t="shared" si="45"/>
        <v>2.874397406605634</v>
      </c>
      <c r="V69" s="80">
        <f t="shared" si="46"/>
        <v>2.2787689548130317</v>
      </c>
      <c r="W69" s="80">
        <f t="shared" si="47"/>
        <v>1.893721943577876</v>
      </c>
      <c r="X69" s="81">
        <f t="shared" si="48"/>
        <v>1.85535576146659</v>
      </c>
      <c r="Y69" s="165">
        <f t="shared" si="49"/>
        <v>8565.094395476213</v>
      </c>
      <c r="Z69" s="165">
        <f t="shared" si="50"/>
        <v>7709.461393906</v>
      </c>
      <c r="AA69" s="165">
        <f t="shared" si="51"/>
        <v>6844.725304241892</v>
      </c>
      <c r="AB69" s="165">
        <f t="shared" si="52"/>
        <v>6202.607394951733</v>
      </c>
      <c r="AC69" s="165">
        <f t="shared" si="53"/>
        <v>6134.421425901706</v>
      </c>
      <c r="AD69" s="172">
        <f t="shared" si="54"/>
        <v>979.3488620968423</v>
      </c>
      <c r="AE69" s="173">
        <f t="shared" si="55"/>
        <v>656.715823726419</v>
      </c>
      <c r="AF69" s="173">
        <f t="shared" si="56"/>
        <v>433.05864460806123</v>
      </c>
      <c r="AG69" s="173">
        <f t="shared" si="57"/>
        <v>312.8376260255365</v>
      </c>
      <c r="AH69" s="174">
        <f t="shared" si="58"/>
        <v>301.9068903770615</v>
      </c>
      <c r="AI69" s="28"/>
      <c r="BX69"/>
    </row>
    <row r="70" spans="1:76" ht="16.5">
      <c r="A70" s="18">
        <v>29</v>
      </c>
      <c r="B70" s="4">
        <v>-0.7179155992224899</v>
      </c>
      <c r="C70" s="11">
        <v>230.61392478009316</v>
      </c>
      <c r="D70" s="4">
        <v>-1.0189111298928748</v>
      </c>
      <c r="E70" s="4">
        <f t="shared" si="31"/>
        <v>1.246427975547148</v>
      </c>
      <c r="F70" s="83">
        <f t="shared" si="32"/>
        <v>1.3535999985340368</v>
      </c>
      <c r="G70" s="86">
        <f t="shared" si="33"/>
        <v>434.81296211188896</v>
      </c>
      <c r="H70" s="88">
        <f t="shared" si="34"/>
        <v>1.9211145508232381</v>
      </c>
      <c r="I70" s="88">
        <f t="shared" si="35"/>
        <v>2.3500880990754616</v>
      </c>
      <c r="J70" s="57">
        <f t="shared" si="36"/>
        <v>2.3498284791954522</v>
      </c>
      <c r="K70" s="11">
        <f t="shared" si="37"/>
        <v>108.40884978004271</v>
      </c>
      <c r="L70" s="11">
        <f t="shared" si="38"/>
        <v>5660.004087609194</v>
      </c>
      <c r="M70" s="15">
        <f t="shared" si="39"/>
        <v>52.800014170450844</v>
      </c>
      <c r="N70" s="11">
        <f t="shared" si="40"/>
        <v>4356.231145042788</v>
      </c>
      <c r="O70" s="11">
        <f t="shared" si="41"/>
        <v>7196.7929363119665</v>
      </c>
      <c r="P70" s="11">
        <f t="shared" si="42"/>
        <v>558.8141517507778</v>
      </c>
      <c r="Q70" s="121">
        <f t="shared" si="43"/>
        <v>17933.051184665223</v>
      </c>
      <c r="R70" s="90">
        <f t="shared" si="59"/>
        <v>0.14147144498320197</v>
      </c>
      <c r="S70" s="28"/>
      <c r="T70" s="79">
        <f t="shared" si="44"/>
        <v>3.600732480344677</v>
      </c>
      <c r="U70" s="80">
        <f t="shared" si="45"/>
        <v>2.9202190369089833</v>
      </c>
      <c r="V70" s="80">
        <f t="shared" si="46"/>
        <v>2.3498284791954522</v>
      </c>
      <c r="W70" s="80">
        <f t="shared" si="47"/>
        <v>1.9867859394877627</v>
      </c>
      <c r="X70" s="81">
        <f t="shared" si="48"/>
        <v>1.9505262588979457</v>
      </c>
      <c r="Y70" s="165">
        <f t="shared" si="49"/>
        <v>8591.335977507013</v>
      </c>
      <c r="Z70" s="165">
        <f t="shared" si="50"/>
        <v>7770.350382823843</v>
      </c>
      <c r="AA70" s="165">
        <f t="shared" si="51"/>
        <v>6955.543951712095</v>
      </c>
      <c r="AB70" s="165">
        <f t="shared" si="52"/>
        <v>6364.660782089124</v>
      </c>
      <c r="AC70" s="165">
        <f t="shared" si="53"/>
        <v>6302.073587427762</v>
      </c>
      <c r="AD70" s="172">
        <f t="shared" si="54"/>
        <v>991.4047736488396</v>
      </c>
      <c r="AE70" s="173">
        <f t="shared" si="55"/>
        <v>675.8181470275118</v>
      </c>
      <c r="AF70" s="173">
        <f t="shared" si="56"/>
        <v>457.33630349511486</v>
      </c>
      <c r="AG70" s="173">
        <f t="shared" si="57"/>
        <v>340.14124438586913</v>
      </c>
      <c r="AH70" s="174">
        <f t="shared" si="58"/>
        <v>329.3702901965539</v>
      </c>
      <c r="AI70" s="28"/>
      <c r="BX70"/>
    </row>
    <row r="71" spans="1:76" ht="16.5">
      <c r="A71" s="18">
        <v>30</v>
      </c>
      <c r="B71" s="4">
        <v>-0.7102502150156997</v>
      </c>
      <c r="C71" s="11">
        <v>227.50587821073148</v>
      </c>
      <c r="D71" s="4">
        <v>-1.072381236051545</v>
      </c>
      <c r="E71" s="4">
        <f t="shared" si="31"/>
        <v>1.2862569274314084</v>
      </c>
      <c r="F71" s="83">
        <f t="shared" si="32"/>
        <v>1.339147235476219</v>
      </c>
      <c r="G71" s="86">
        <f t="shared" si="33"/>
        <v>428.95286959364876</v>
      </c>
      <c r="H71" s="88">
        <f t="shared" si="34"/>
        <v>2.021930211739891</v>
      </c>
      <c r="I71" s="88">
        <f t="shared" si="35"/>
        <v>2.425183931051442</v>
      </c>
      <c r="J71" s="57">
        <f t="shared" si="36"/>
        <v>2.4249160151544045</v>
      </c>
      <c r="K71" s="11">
        <f t="shared" si="37"/>
        <v>106.10618606552913</v>
      </c>
      <c r="L71" s="11">
        <f t="shared" si="38"/>
        <v>5535.398039506599</v>
      </c>
      <c r="M71" s="15">
        <f t="shared" si="39"/>
        <v>58.48706650905557</v>
      </c>
      <c r="N71" s="11">
        <f t="shared" si="40"/>
        <v>4585.510459718369</v>
      </c>
      <c r="O71" s="11">
        <f t="shared" si="41"/>
        <v>7303.904715791823</v>
      </c>
      <c r="P71" s="11">
        <f t="shared" si="42"/>
        <v>582.4157015418489</v>
      </c>
      <c r="Q71" s="121">
        <f t="shared" si="43"/>
        <v>18171.822169133226</v>
      </c>
      <c r="R71" s="90">
        <f t="shared" si="59"/>
        <v>0.14335507738043926</v>
      </c>
      <c r="S71" s="28"/>
      <c r="T71" s="79">
        <f t="shared" si="44"/>
        <v>3.624522595263168</v>
      </c>
      <c r="U71" s="80">
        <f t="shared" si="45"/>
        <v>2.9685097482818956</v>
      </c>
      <c r="V71" s="80">
        <f t="shared" si="46"/>
        <v>2.4249160151544045</v>
      </c>
      <c r="W71" s="80">
        <f t="shared" si="47"/>
        <v>2.0836666499937735</v>
      </c>
      <c r="X71" s="81">
        <f t="shared" si="48"/>
        <v>2.048510973579717</v>
      </c>
      <c r="Y71" s="165">
        <f t="shared" si="49"/>
        <v>8617.37215901565</v>
      </c>
      <c r="Z71" s="165">
        <f t="shared" si="50"/>
        <v>7833.712454880209</v>
      </c>
      <c r="AA71" s="165">
        <f t="shared" si="51"/>
        <v>7070.256446647113</v>
      </c>
      <c r="AB71" s="165">
        <f t="shared" si="52"/>
        <v>6528.55220682751</v>
      </c>
      <c r="AC71" s="165">
        <f t="shared" si="53"/>
        <v>6469.630311588637</v>
      </c>
      <c r="AD71" s="172">
        <f t="shared" si="54"/>
        <v>1003.5184563368189</v>
      </c>
      <c r="AE71" s="173">
        <f t="shared" si="55"/>
        <v>696.2430208318584</v>
      </c>
      <c r="AF71" s="173">
        <f t="shared" si="56"/>
        <v>483.6981774620209</v>
      </c>
      <c r="AG71" s="173">
        <f t="shared" si="57"/>
        <v>369.7519336431655</v>
      </c>
      <c r="AH71" s="174">
        <f t="shared" si="58"/>
        <v>358.86691943538096</v>
      </c>
      <c r="AI71" s="28"/>
      <c r="BX71"/>
    </row>
    <row r="72" spans="1:76" ht="16.5">
      <c r="A72" s="18">
        <v>31</v>
      </c>
      <c r="B72" s="4">
        <v>-0.7022009474414048</v>
      </c>
      <c r="C72" s="11">
        <v>223.56423801738163</v>
      </c>
      <c r="D72" s="4">
        <v>-1.1280864983109464</v>
      </c>
      <c r="E72" s="4">
        <f t="shared" si="31"/>
        <v>1.3287833977962924</v>
      </c>
      <c r="F72" s="83">
        <f t="shared" si="32"/>
        <v>1.3239706762977228</v>
      </c>
      <c r="G72" s="86">
        <f t="shared" si="33"/>
        <v>421.5210709731447</v>
      </c>
      <c r="H72" s="88">
        <f t="shared" si="34"/>
        <v>2.1269601665066156</v>
      </c>
      <c r="I72" s="88">
        <f t="shared" si="35"/>
        <v>2.5053658219114627</v>
      </c>
      <c r="J72" s="57">
        <f t="shared" si="36"/>
        <v>2.50508904812825</v>
      </c>
      <c r="K72" s="11">
        <f t="shared" si="37"/>
        <v>103.7148106430372</v>
      </c>
      <c r="L72" s="11">
        <f t="shared" si="38"/>
        <v>5401.532250465407</v>
      </c>
      <c r="M72" s="15">
        <f t="shared" si="39"/>
        <v>64.7211505801498</v>
      </c>
      <c r="N72" s="11">
        <f t="shared" si="40"/>
        <v>4834.469476360992</v>
      </c>
      <c r="O72" s="11">
        <f t="shared" si="41"/>
        <v>7413.538007559839</v>
      </c>
      <c r="P72" s="11">
        <f t="shared" si="42"/>
        <v>607.9160406323554</v>
      </c>
      <c r="Q72" s="121">
        <f t="shared" si="43"/>
        <v>18425.891736241778</v>
      </c>
      <c r="R72" s="90">
        <f t="shared" si="59"/>
        <v>0.1453593982522739</v>
      </c>
      <c r="S72" s="28"/>
      <c r="T72" s="79">
        <f t="shared" si="44"/>
        <v>3.6482133416018003</v>
      </c>
      <c r="U72" s="80">
        <f t="shared" si="45"/>
        <v>3.019893248750807</v>
      </c>
      <c r="V72" s="80">
        <f t="shared" si="46"/>
        <v>2.50508904812825</v>
      </c>
      <c r="W72" s="80">
        <f t="shared" si="47"/>
        <v>2.1855453098587505</v>
      </c>
      <c r="X72" s="81">
        <f t="shared" si="48"/>
        <v>2.150155045812076</v>
      </c>
      <c r="Y72" s="165">
        <f t="shared" si="49"/>
        <v>8643.129438242884</v>
      </c>
      <c r="Z72" s="165">
        <f t="shared" si="50"/>
        <v>7900.234505759032</v>
      </c>
      <c r="AA72" s="165">
        <f t="shared" si="51"/>
        <v>7190.114411259601</v>
      </c>
      <c r="AB72" s="165">
        <f t="shared" si="52"/>
        <v>6695.887094184562</v>
      </c>
      <c r="AC72" s="165">
        <f t="shared" si="53"/>
        <v>6638.32458835311</v>
      </c>
      <c r="AD72" s="172">
        <f t="shared" si="54"/>
        <v>1015.6541177604996</v>
      </c>
      <c r="AE72" s="173">
        <f t="shared" si="55"/>
        <v>718.3064583066005</v>
      </c>
      <c r="AF72" s="173">
        <f t="shared" si="56"/>
        <v>512.6486082915201</v>
      </c>
      <c r="AG72" s="173">
        <f t="shared" si="57"/>
        <v>402.1966945982653</v>
      </c>
      <c r="AH72" s="174">
        <f t="shared" si="58"/>
        <v>390.7743242048914</v>
      </c>
      <c r="AI72" s="28"/>
      <c r="BX72"/>
    </row>
    <row r="73" spans="1:76" ht="16.5">
      <c r="A73" s="18">
        <v>32</v>
      </c>
      <c r="B73" s="4">
        <v>-0.6934456903989243</v>
      </c>
      <c r="C73" s="11">
        <v>218.6426703280376</v>
      </c>
      <c r="D73" s="4">
        <v>-1.1866289424589562</v>
      </c>
      <c r="E73" s="4">
        <f t="shared" si="31"/>
        <v>1.374392655908093</v>
      </c>
      <c r="F73" s="83">
        <f t="shared" si="32"/>
        <v>1.3074630033446604</v>
      </c>
      <c r="G73" s="86">
        <f t="shared" si="33"/>
        <v>412.2416598218951</v>
      </c>
      <c r="H73" s="88">
        <f t="shared" si="34"/>
        <v>2.237339509703429</v>
      </c>
      <c r="I73" s="88">
        <f t="shared" si="35"/>
        <v>2.5913601808307196</v>
      </c>
      <c r="J73" s="57">
        <f t="shared" si="36"/>
        <v>2.5910739070440165</v>
      </c>
      <c r="K73" s="11">
        <f t="shared" si="37"/>
        <v>101.14463779567131</v>
      </c>
      <c r="L73" s="11">
        <f t="shared" si="38"/>
        <v>5253.70183125278</v>
      </c>
      <c r="M73" s="15">
        <f t="shared" si="39"/>
        <v>71.61290646341291</v>
      </c>
      <c r="N73" s="11">
        <f t="shared" si="40"/>
        <v>5106.116101701455</v>
      </c>
      <c r="O73" s="11">
        <f t="shared" si="41"/>
        <v>7526.452195823967</v>
      </c>
      <c r="P73" s="11">
        <f t="shared" si="42"/>
        <v>635.6679576421831</v>
      </c>
      <c r="Q73" s="121">
        <f t="shared" si="43"/>
        <v>18694.69563067947</v>
      </c>
      <c r="R73" s="90">
        <f t="shared" si="59"/>
        <v>0.14747995626393737</v>
      </c>
      <c r="S73" s="28"/>
      <c r="T73" s="79">
        <f t="shared" si="44"/>
        <v>3.6717726468539507</v>
      </c>
      <c r="U73" s="80">
        <f t="shared" si="45"/>
        <v>3.0747960572988693</v>
      </c>
      <c r="V73" s="80">
        <f t="shared" si="46"/>
        <v>2.5910739070440165</v>
      </c>
      <c r="W73" s="80">
        <f t="shared" si="47"/>
        <v>2.2934240697123336</v>
      </c>
      <c r="X73" s="81">
        <f t="shared" si="48"/>
        <v>2.2567145830377604</v>
      </c>
      <c r="Y73" s="165">
        <f t="shared" si="49"/>
        <v>8668.57614313755</v>
      </c>
      <c r="Z73" s="165">
        <f t="shared" si="50"/>
        <v>7970.303781452726</v>
      </c>
      <c r="AA73" s="165">
        <f t="shared" si="51"/>
        <v>7315.7444311019935</v>
      </c>
      <c r="AB73" s="165">
        <f t="shared" si="52"/>
        <v>6867.763586562357</v>
      </c>
      <c r="AC73" s="165">
        <f t="shared" si="53"/>
        <v>6809.873036865205</v>
      </c>
      <c r="AD73" s="172">
        <f t="shared" si="54"/>
        <v>1027.7942707497268</v>
      </c>
      <c r="AE73" s="173">
        <f t="shared" si="55"/>
        <v>742.2575462843264</v>
      </c>
      <c r="AF73" s="173">
        <f t="shared" si="56"/>
        <v>544.6194924007044</v>
      </c>
      <c r="AG73" s="173">
        <f t="shared" si="57"/>
        <v>438.0122667775741</v>
      </c>
      <c r="AH73" s="174">
        <f t="shared" si="58"/>
        <v>425.65621199858316</v>
      </c>
      <c r="AI73" s="28"/>
      <c r="BX73"/>
    </row>
    <row r="74" spans="1:76" ht="16.5">
      <c r="A74" s="18">
        <v>33</v>
      </c>
      <c r="B74" s="4">
        <v>-0.68417335829729</v>
      </c>
      <c r="C74" s="11">
        <v>212.54789818753315</v>
      </c>
      <c r="D74" s="4">
        <v>-1.2484668110260242</v>
      </c>
      <c r="E74" s="4">
        <f t="shared" si="31"/>
        <v>1.4236441136875755</v>
      </c>
      <c r="F74" s="83">
        <f t="shared" si="32"/>
        <v>1.2899804068768135</v>
      </c>
      <c r="G74" s="86">
        <f t="shared" si="33"/>
        <v>400.75022048085435</v>
      </c>
      <c r="H74" s="88">
        <f t="shared" si="34"/>
        <v>2.353932238559555</v>
      </c>
      <c r="I74" s="88">
        <f t="shared" si="35"/>
        <v>2.6842217557154378</v>
      </c>
      <c r="J74" s="57">
        <f t="shared" si="36"/>
        <v>2.6839252232873934</v>
      </c>
      <c r="K74" s="11">
        <f t="shared" si="37"/>
        <v>98.45783325283317</v>
      </c>
      <c r="L74" s="11">
        <f t="shared" si="38"/>
        <v>5093.904299371824</v>
      </c>
      <c r="M74" s="15">
        <f t="shared" si="39"/>
        <v>79.27119953042207</v>
      </c>
      <c r="N74" s="11">
        <f t="shared" si="40"/>
        <v>5404.701492462695</v>
      </c>
      <c r="O74" s="11">
        <f t="shared" si="41"/>
        <v>7643.531160823365</v>
      </c>
      <c r="P74" s="11">
        <f t="shared" si="42"/>
        <v>666.1761178884058</v>
      </c>
      <c r="Q74" s="121">
        <f t="shared" si="43"/>
        <v>18986.042103329542</v>
      </c>
      <c r="R74" s="90">
        <f t="shared" si="59"/>
        <v>0.14977834966348388</v>
      </c>
      <c r="S74" s="28"/>
      <c r="T74" s="79">
        <f t="shared" si="44"/>
        <v>3.695777353886658</v>
      </c>
      <c r="U74" s="80">
        <f t="shared" si="45"/>
        <v>3.134176970916997</v>
      </c>
      <c r="V74" s="80">
        <f t="shared" si="46"/>
        <v>2.6839252232873934</v>
      </c>
      <c r="W74" s="80">
        <f t="shared" si="47"/>
        <v>2.4083060866544743</v>
      </c>
      <c r="X74" s="81">
        <f t="shared" si="48"/>
        <v>2.3690749446740917</v>
      </c>
      <c r="Y74" s="165">
        <f t="shared" si="49"/>
        <v>8694.332684223442</v>
      </c>
      <c r="Z74" s="165">
        <f t="shared" si="50"/>
        <v>8044.931790021841</v>
      </c>
      <c r="AA74" s="165">
        <f t="shared" si="51"/>
        <v>7448.124770112714</v>
      </c>
      <c r="AB74" s="165">
        <f t="shared" si="52"/>
        <v>7045.088636596686</v>
      </c>
      <c r="AC74" s="165">
        <f t="shared" si="53"/>
        <v>6985.177923162139</v>
      </c>
      <c r="AD74" s="172">
        <f t="shared" si="54"/>
        <v>1040.2376068843464</v>
      </c>
      <c r="AE74" s="173">
        <f t="shared" si="55"/>
        <v>768.6000390126007</v>
      </c>
      <c r="AF74" s="173">
        <f t="shared" si="56"/>
        <v>580.2148342547821</v>
      </c>
      <c r="AG74" s="173">
        <f t="shared" si="57"/>
        <v>477.80406317448336</v>
      </c>
      <c r="AH74" s="174">
        <f t="shared" si="58"/>
        <v>464.02404611581596</v>
      </c>
      <c r="AI74" s="28"/>
      <c r="BX74"/>
    </row>
    <row r="75" spans="1:76" ht="16.5">
      <c r="A75" s="18">
        <v>34</v>
      </c>
      <c r="B75" s="4">
        <v>-0.6739838818223287</v>
      </c>
      <c r="C75" s="11">
        <v>204.83970364331694</v>
      </c>
      <c r="D75" s="4">
        <v>-1.3146950729765248</v>
      </c>
      <c r="E75" s="4">
        <f t="shared" si="31"/>
        <v>1.4773887125144298</v>
      </c>
      <c r="F75" s="83">
        <f t="shared" si="32"/>
        <v>1.2707685728443623</v>
      </c>
      <c r="G75" s="86">
        <f t="shared" si="33"/>
        <v>386.2167403126409</v>
      </c>
      <c r="H75" s="88">
        <f t="shared" si="34"/>
        <v>2.478802871508884</v>
      </c>
      <c r="I75" s="88">
        <f t="shared" si="35"/>
        <v>2.7855549611396273</v>
      </c>
      <c r="J75" s="57">
        <f t="shared" si="36"/>
        <v>2.785247234188857</v>
      </c>
      <c r="K75" s="11">
        <f t="shared" si="37"/>
        <v>95.54698288801856</v>
      </c>
      <c r="L75" s="11">
        <f t="shared" si="38"/>
        <v>4915.2657716598005</v>
      </c>
      <c r="M75" s="15">
        <f t="shared" si="39"/>
        <v>87.90457881172551</v>
      </c>
      <c r="N75" s="11">
        <f t="shared" si="40"/>
        <v>5736.5632757283665</v>
      </c>
      <c r="O75" s="11">
        <f t="shared" si="41"/>
        <v>7766.093430407162</v>
      </c>
      <c r="P75" s="11">
        <f t="shared" si="42"/>
        <v>700.0769292989928</v>
      </c>
      <c r="Q75" s="121">
        <f t="shared" si="43"/>
        <v>19301.450968794066</v>
      </c>
      <c r="R75" s="90">
        <f t="shared" si="59"/>
        <v>0.15226656806526565</v>
      </c>
      <c r="S75" s="28"/>
      <c r="T75" s="79">
        <f t="shared" si="44"/>
        <v>3.719685634683989</v>
      </c>
      <c r="U75" s="80">
        <f t="shared" si="45"/>
        <v>3.198763406673896</v>
      </c>
      <c r="V75" s="80">
        <f t="shared" si="46"/>
        <v>2.785247234188857</v>
      </c>
      <c r="W75" s="80">
        <f t="shared" si="47"/>
        <v>2.532312321163503</v>
      </c>
      <c r="X75" s="81">
        <f t="shared" si="48"/>
        <v>2.489397103909987</v>
      </c>
      <c r="Y75" s="165">
        <f t="shared" si="49"/>
        <v>8719.814666465309</v>
      </c>
      <c r="Z75" s="165">
        <f t="shared" si="50"/>
        <v>8124.758004778687</v>
      </c>
      <c r="AA75" s="165">
        <f t="shared" si="51"/>
        <v>7588.818477538607</v>
      </c>
      <c r="AB75" s="165">
        <f t="shared" si="52"/>
        <v>7230.211632407118</v>
      </c>
      <c r="AC75" s="165">
        <f t="shared" si="53"/>
        <v>7166.8643708460895</v>
      </c>
      <c r="AD75" s="172">
        <f t="shared" si="54"/>
        <v>1052.7048676837173</v>
      </c>
      <c r="AE75" s="173">
        <f t="shared" si="55"/>
        <v>797.7683889276144</v>
      </c>
      <c r="AF75" s="173">
        <f t="shared" si="56"/>
        <v>620.3268648776987</v>
      </c>
      <c r="AG75" s="173">
        <f t="shared" si="57"/>
        <v>522.667551602218</v>
      </c>
      <c r="AH75" s="174">
        <f t="shared" si="58"/>
        <v>506.9169734037163</v>
      </c>
      <c r="AI75" s="28"/>
      <c r="BX75"/>
    </row>
    <row r="76" spans="1:76" ht="16.5">
      <c r="A76" s="18">
        <v>35</v>
      </c>
      <c r="B76" s="4">
        <v>-0.6632441842624921</v>
      </c>
      <c r="C76" s="11">
        <v>195.01696203664585</v>
      </c>
      <c r="D76" s="4">
        <v>-1.3862719757944502</v>
      </c>
      <c r="E76" s="4">
        <f t="shared" si="31"/>
        <v>1.536763755048598</v>
      </c>
      <c r="F76" s="83">
        <f t="shared" si="32"/>
        <v>1.2505193198444349</v>
      </c>
      <c r="G76" s="86">
        <f t="shared" si="33"/>
        <v>367.696369618941</v>
      </c>
      <c r="H76" s="88">
        <f t="shared" si="34"/>
        <v>2.6137581443213764</v>
      </c>
      <c r="I76" s="88">
        <f t="shared" si="35"/>
        <v>2.897504133959176</v>
      </c>
      <c r="J76" s="57">
        <f t="shared" si="36"/>
        <v>2.897184039714249</v>
      </c>
      <c r="K76" s="11">
        <f t="shared" si="37"/>
        <v>92.52622797111356</v>
      </c>
      <c r="L76" s="11">
        <f t="shared" si="38"/>
        <v>4721.106729910134</v>
      </c>
      <c r="M76" s="15">
        <f t="shared" si="39"/>
        <v>97.73684470964413</v>
      </c>
      <c r="N76" s="11">
        <f t="shared" si="40"/>
        <v>6110.293188183556</v>
      </c>
      <c r="O76" s="11">
        <f t="shared" si="41"/>
        <v>7895.859715141242</v>
      </c>
      <c r="P76" s="11">
        <f t="shared" si="42"/>
        <v>738.3699460397772</v>
      </c>
      <c r="Q76" s="121">
        <f t="shared" si="43"/>
        <v>19655.892651955466</v>
      </c>
      <c r="R76" s="90">
        <f t="shared" si="59"/>
        <v>0.15506271115116727</v>
      </c>
      <c r="S76" s="28"/>
      <c r="T76" s="79">
        <f t="shared" si="44"/>
        <v>3.7442726603211787</v>
      </c>
      <c r="U76" s="80">
        <f t="shared" si="45"/>
        <v>3.270282293850442</v>
      </c>
      <c r="V76" s="80">
        <f t="shared" si="46"/>
        <v>2.897184039714249</v>
      </c>
      <c r="W76" s="80">
        <f t="shared" si="47"/>
        <v>2.667651587133978</v>
      </c>
      <c r="X76" s="81">
        <f t="shared" si="48"/>
        <v>2.619697534556629</v>
      </c>
      <c r="Y76" s="165">
        <f t="shared" si="49"/>
        <v>8745.842720693536</v>
      </c>
      <c r="Z76" s="165">
        <f t="shared" si="50"/>
        <v>8211.544211195438</v>
      </c>
      <c r="AA76" s="165">
        <f t="shared" si="51"/>
        <v>7739.834819826556</v>
      </c>
      <c r="AB76" s="165">
        <f t="shared" si="52"/>
        <v>7425.1646297761545</v>
      </c>
      <c r="AC76" s="165">
        <f t="shared" si="53"/>
        <v>7356.912194214529</v>
      </c>
      <c r="AD76" s="172">
        <f t="shared" si="54"/>
        <v>1065.602999363626</v>
      </c>
      <c r="AE76" s="173">
        <f t="shared" si="55"/>
        <v>830.6956015026661</v>
      </c>
      <c r="AF76" s="173">
        <f t="shared" si="56"/>
        <v>666.1813497176577</v>
      </c>
      <c r="AG76" s="173">
        <f t="shared" si="57"/>
        <v>573.895792298103</v>
      </c>
      <c r="AH76" s="174">
        <f t="shared" si="58"/>
        <v>555.4739873168334</v>
      </c>
      <c r="AI76" s="28"/>
      <c r="BX76"/>
    </row>
    <row r="77" spans="1:76" ht="16.5">
      <c r="A77" s="15">
        <f>J25</f>
        <v>36.23820889210402</v>
      </c>
      <c r="B77" s="4">
        <v>-0.6526372462371004</v>
      </c>
      <c r="C77" s="11">
        <v>181.6577317804412</v>
      </c>
      <c r="D77" s="4">
        <v>-1.463643292735403</v>
      </c>
      <c r="E77" s="4">
        <f t="shared" si="31"/>
        <v>1.6025564150897398</v>
      </c>
      <c r="F77" s="83">
        <f t="shared" si="32"/>
        <v>1.2305203794241817</v>
      </c>
      <c r="G77" s="86">
        <f t="shared" si="33"/>
        <v>342.5080966871387</v>
      </c>
      <c r="H77" s="88">
        <f t="shared" si="34"/>
        <v>2.7596385439272266</v>
      </c>
      <c r="I77" s="88">
        <f t="shared" si="35"/>
        <v>3.021553457628545</v>
      </c>
      <c r="J77" s="57">
        <f t="shared" si="36"/>
        <v>3.021219659356719</v>
      </c>
      <c r="K77" s="11">
        <f t="shared" si="37"/>
        <v>89.59043959780962</v>
      </c>
      <c r="L77" s="11">
        <f t="shared" si="38"/>
        <v>4514.305370607905</v>
      </c>
      <c r="M77" s="15">
        <f t="shared" si="39"/>
        <v>108.9511755376706</v>
      </c>
      <c r="N77" s="11">
        <f t="shared" si="40"/>
        <v>6532.841136586481</v>
      </c>
      <c r="O77" s="11">
        <f t="shared" si="41"/>
        <v>8032.480795397436</v>
      </c>
      <c r="P77" s="11">
        <f t="shared" si="42"/>
        <v>781.4190846039482</v>
      </c>
      <c r="Q77" s="121">
        <f t="shared" si="43"/>
        <v>20059.58800233125</v>
      </c>
      <c r="R77" s="90">
        <f>Q77*J$29*(A77-A76)</f>
        <v>0.19594335001328517</v>
      </c>
      <c r="S77" s="28"/>
      <c r="T77" s="79">
        <f t="shared" si="44"/>
        <v>3.7662076409337395</v>
      </c>
      <c r="U77" s="80">
        <f t="shared" si="45"/>
        <v>3.3484163933512088</v>
      </c>
      <c r="V77" s="80">
        <f t="shared" si="46"/>
        <v>3.021219659356719</v>
      </c>
      <c r="W77" s="80">
        <f t="shared" si="47"/>
        <v>2.8163713631353584</v>
      </c>
      <c r="X77" s="81">
        <f t="shared" si="48"/>
        <v>2.7612371535743336</v>
      </c>
      <c r="Y77" s="165">
        <f t="shared" si="49"/>
        <v>8768.912119056567</v>
      </c>
      <c r="Z77" s="165">
        <f t="shared" si="50"/>
        <v>8304.457682739914</v>
      </c>
      <c r="AA77" s="165">
        <f t="shared" si="51"/>
        <v>7901.9395558658125</v>
      </c>
      <c r="AB77" s="165">
        <f t="shared" si="52"/>
        <v>7631.267659991648</v>
      </c>
      <c r="AC77" s="165">
        <f t="shared" si="53"/>
        <v>7555.82695933324</v>
      </c>
      <c r="AD77" s="172">
        <f t="shared" si="54"/>
        <v>1077.1757325831413</v>
      </c>
      <c r="AE77" s="173">
        <f t="shared" si="55"/>
        <v>867.4228869800451</v>
      </c>
      <c r="AF77" s="173">
        <f t="shared" si="56"/>
        <v>718.8805135021847</v>
      </c>
      <c r="AG77" s="173">
        <f t="shared" si="57"/>
        <v>632.9144622151729</v>
      </c>
      <c r="AH77" s="174">
        <f t="shared" si="58"/>
        <v>610.701827739197</v>
      </c>
      <c r="AI77" s="28"/>
      <c r="BX77"/>
    </row>
    <row r="78" spans="2:76" ht="6.75" customHeight="1">
      <c r="B78" s="4"/>
      <c r="D78" s="4"/>
      <c r="E78" s="4"/>
      <c r="F78" s="83"/>
      <c r="G78" s="86"/>
      <c r="H78" s="88"/>
      <c r="I78" s="88"/>
      <c r="J78" s="57"/>
      <c r="L78" s="11"/>
      <c r="M78" s="15"/>
      <c r="N78" s="11"/>
      <c r="O78" s="11"/>
      <c r="P78" s="11"/>
      <c r="Q78" s="121"/>
      <c r="R78" s="90"/>
      <c r="S78" s="28"/>
      <c r="T78" s="79"/>
      <c r="U78" s="80"/>
      <c r="V78" s="80"/>
      <c r="W78" s="80"/>
      <c r="X78" s="81"/>
      <c r="Y78" s="165"/>
      <c r="Z78" s="165"/>
      <c r="AA78" s="165"/>
      <c r="AB78" s="165"/>
      <c r="AC78" s="165"/>
      <c r="AD78" s="172"/>
      <c r="AE78" s="173"/>
      <c r="AF78" s="173"/>
      <c r="AG78" s="173"/>
      <c r="AH78" s="174"/>
      <c r="AI78" s="28"/>
      <c r="BX78"/>
    </row>
    <row r="79" spans="1:76" ht="16.5">
      <c r="A79" s="15">
        <f>I26</f>
        <v>41.284249216564326</v>
      </c>
      <c r="B79" s="4">
        <v>-0.6091989960299014</v>
      </c>
      <c r="C79" s="11">
        <v>165.1876539783805</v>
      </c>
      <c r="D79" s="4">
        <v>-0.9962057691997916</v>
      </c>
      <c r="E79" s="4">
        <f aca="true" t="shared" si="60" ref="E79:E93">SQRT(B79^2+D79^2)</f>
        <v>1.1677111592130942</v>
      </c>
      <c r="F79" s="83">
        <f aca="true" t="shared" si="61" ref="F79:F93">-B79*$E$29*(1-$E$33)/$E$30/$E$34</f>
        <v>1.1486193655996253</v>
      </c>
      <c r="G79" s="86">
        <f aca="true" t="shared" si="62" ref="G79:G93">C79*$E$29*(1-$E$33)/$E$30/$E$34</f>
        <v>311.45445011243083</v>
      </c>
      <c r="H79" s="88">
        <f aca="true" t="shared" si="63" ref="H79:H93">-D79*$E$29*(1-$E$33)/$E$30/$E$34</f>
        <v>1.8783045377323433</v>
      </c>
      <c r="I79" s="88">
        <f aca="true" t="shared" si="64" ref="I79:I93">E79*$E$29*(1-$E$33)/$E$30/$E$34</f>
        <v>2.201670816333904</v>
      </c>
      <c r="J79" s="57">
        <f aca="true" t="shared" si="65" ref="J79:J93">E79*E$29/E$30</f>
        <v>2.2014275924677937</v>
      </c>
      <c r="K79" s="11">
        <f aca="true" t="shared" si="66" ref="K79:K93">L$33*E$14/120*F79^2/E$8*E$7*E$10*(E$10-1)*E$5/E$6</f>
        <v>78.06139614296876</v>
      </c>
      <c r="L79" s="11">
        <f aca="true" t="shared" si="67" ref="L79:L93">L$34*E$14/6*F79^2/E$9*E$7*E$5/E$6*(1+(G79*E$5/F79)^2/15)</f>
        <v>3911.5314525958606</v>
      </c>
      <c r="M79" s="15">
        <f aca="true" t="shared" si="68" ref="M79:M93">L$35*E$14/8*H79^2/E$9*E$7*E$6/E$5</f>
        <v>50.473047959002514</v>
      </c>
      <c r="N79" s="11">
        <f aca="true" t="shared" si="69" ref="N79:N93">E$14*E$15*(E$12/E$11)^2*J79*(1-E$33)/E$34^2*(E$20/2/PI())^2/E$19*LN((E$18+E$19*J79)/(E$18+E$19*E$33*J79))</f>
        <v>3914.5368870877364</v>
      </c>
      <c r="O79" s="11">
        <f aca="true" t="shared" si="70" ref="O79:O93">(Y79+Z79+AA79+AB79+AC79)/5</f>
        <v>6877.859563349343</v>
      </c>
      <c r="P79" s="11">
        <f aca="true" t="shared" si="71" ref="P79:P93">(AD79+AE79+AF79+AG79+AH79)/5</f>
        <v>460.0579194290896</v>
      </c>
      <c r="Q79" s="121">
        <f aca="true" t="shared" si="72" ref="Q79:Q93">SUM(K79:P79)</f>
        <v>15292.520266564</v>
      </c>
      <c r="R79" s="90">
        <f>Q79*J$29*(A80-A79)</f>
        <v>0.08634863927850477</v>
      </c>
      <c r="S79" s="28"/>
      <c r="T79" s="79">
        <f aca="true" t="shared" si="73" ref="T79:T93">SQRT(($B79-$C79*0.8*$E$5)^2+$D79^2)*$E$29/$E$30</f>
        <v>3.01652021090198</v>
      </c>
      <c r="U79" s="80">
        <f aca="true" t="shared" si="74" ref="U79:U93">SQRT(($B79-$C79*0.4*$E$5)^2+$D79^2)*$E$29/$E$30</f>
        <v>2.5701312122235054</v>
      </c>
      <c r="V79" s="80">
        <f aca="true" t="shared" si="75" ref="V79:V93">SQRT(($B79)^2+$D79^2)*$E$29/$E$30</f>
        <v>2.2014275924677937</v>
      </c>
      <c r="W79" s="80">
        <f aca="true" t="shared" si="76" ref="W79:W93">SQRT(($B79+$C79*0.4*$E$5)^2+$D79^2)*$E$29/$E$30</f>
        <v>1.9548711398144292</v>
      </c>
      <c r="X79" s="81">
        <f aca="true" t="shared" si="77" ref="X79:X93">SQRT(($B79+$C79*0.8*$E$5)^2+$D79^2)*$E$29/$E$30</f>
        <v>1.879172060575595</v>
      </c>
      <c r="Y79" s="165">
        <f aca="true" t="shared" si="78" ref="Y79:Y93">$L$36*$E$14*$E$15*$E$17/$E$34*2/3*$E$21/PI()*($E$22*$E$23*LN((T79+$E$23)/($E$33*T79+$E$23))+$E$24*T79*(1-$E$33)+$E$25*T79^2/2*(1-$E$33^2))</f>
        <v>7895.895852706361</v>
      </c>
      <c r="Z79" s="165">
        <f aca="true" t="shared" si="79" ref="Z79:Z93">$L$36*$E$14*$E$15*$E$17/$E$34*2/3*$E$21/PI()*($E$22*$E$23*LN((U79+$E$23)/($E$33*U79+$E$23))+$E$24*U79*(1-$E$33)+$E$25*U79^2/2*(1-$E$33^2))</f>
        <v>7285.418619919802</v>
      </c>
      <c r="AA79" s="165">
        <f aca="true" t="shared" si="80" ref="AA79:AA93">$L$36*$E$14*$E$15*$E$17/$E$34*2/3*$E$21/PI()*($E$22*$E$23*LN((V79+$E$23)/($E$33*V79+$E$23))+$E$24*V79*(1-$E$33)+$E$25*V79^2/2*(1-$E$33^2))</f>
        <v>6721.527816093179</v>
      </c>
      <c r="AB79" s="165">
        <f aca="true" t="shared" si="81" ref="AB79:AB93">$L$36*$E$14*$E$15*$E$17/$E$34*2/3*$E$21/PI()*($E$22*$E$23*LN((W79+$E$23)/($E$33*W79+$E$23))+$E$24*W79*(1-$E$33)+$E$25*W79^2/2*(1-$E$33^2))</f>
        <v>6309.609931356554</v>
      </c>
      <c r="AC79" s="165">
        <f aca="true" t="shared" si="82" ref="AC79:AC93">$L$36*$E$14*$E$15*$E$17/$E$34*2/3*$E$21/PI()*($E$22*$E$23*LN((X79+$E$23)/($E$33*X79+$E$23))+$E$24*X79*(1-$E$33)+$E$25*X79^2/2*(1-$E$33^2))</f>
        <v>6176.845596670816</v>
      </c>
      <c r="AD79" s="172">
        <f aca="true" t="shared" si="83" ref="AD79:AD93">1/9/PI()*$E$21/$E$34*$E$28^2*T79*(3*T79+4*$E$27)/($E$26*$E$27*$E$14*$E$15*$E$17*16*$E$5^2*$E$6^2)</f>
        <v>716.8476692099163</v>
      </c>
      <c r="AE79" s="173">
        <f aca="true" t="shared" si="84" ref="AE79:AE93">1/9/PI()*$E$21/$E$34*$E$28^2*U79*(3*U79+4*$E$27)/($E$26*$E$27*$E$14*$E$15*$E$17*16*$E$5^2*$E$6^2)</f>
        <v>536.7446941487545</v>
      </c>
      <c r="AF79" s="173">
        <f aca="true" t="shared" si="85" ref="AF79:AF93">1/9/PI()*$E$21/$E$34*$E$28^2*V79*(3*V79+4*$E$27)/($E$26*$E$27*$E$14*$E$15*$E$17*16*$E$5^2*$E$6^2)</f>
        <v>407.37531487301555</v>
      </c>
      <c r="AG79" s="173">
        <f aca="true" t="shared" si="86" ref="AG79:AG93">1/9/PI()*$E$21/$E$34*$E$28^2*W79*(3*W79+4*$E$27)/($E$26*$E$27*$E$14*$E$15*$E$17*16*$E$5^2*$E$6^2)</f>
        <v>330.65199221583373</v>
      </c>
      <c r="AH79" s="174">
        <f aca="true" t="shared" si="87" ref="AH79:AH93">1/9/PI()*$E$21/$E$34*$E$28^2*X79*(3*X79+4*$E$27)/($E$26*$E$27*$E$14*$E$15*$E$17*16*$E$5^2*$E$6^2)</f>
        <v>308.6699266979283</v>
      </c>
      <c r="AI79" s="28"/>
      <c r="BX79"/>
    </row>
    <row r="80" spans="1:76" ht="16.5">
      <c r="A80" s="18">
        <v>42</v>
      </c>
      <c r="B80" s="4">
        <v>-0.6036062565672307</v>
      </c>
      <c r="C80" s="11">
        <v>178.0405812419791</v>
      </c>
      <c r="D80" s="4">
        <v>-1.0020586485015945</v>
      </c>
      <c r="E80" s="4">
        <f t="shared" si="60"/>
        <v>1.1698128260554967</v>
      </c>
      <c r="F80" s="83">
        <f t="shared" si="61"/>
        <v>1.1380744879891218</v>
      </c>
      <c r="G80" s="86">
        <f t="shared" si="62"/>
        <v>335.6881098128288</v>
      </c>
      <c r="H80" s="88">
        <f t="shared" si="63"/>
        <v>1.8893398981882525</v>
      </c>
      <c r="I80" s="88">
        <f t="shared" si="64"/>
        <v>2.2056334217402713</v>
      </c>
      <c r="J80" s="57">
        <f t="shared" si="65"/>
        <v>2.205389760115619</v>
      </c>
      <c r="K80" s="11">
        <f t="shared" si="66"/>
        <v>76.63469301306772</v>
      </c>
      <c r="L80" s="11">
        <f t="shared" si="67"/>
        <v>3913.2115652164475</v>
      </c>
      <c r="M80" s="15">
        <f t="shared" si="68"/>
        <v>51.06786575027931</v>
      </c>
      <c r="N80" s="11">
        <f t="shared" si="69"/>
        <v>3926.1271358797076</v>
      </c>
      <c r="O80" s="11">
        <f t="shared" si="70"/>
        <v>6911.85224532368</v>
      </c>
      <c r="P80" s="11">
        <f t="shared" si="71"/>
        <v>469.90217748079306</v>
      </c>
      <c r="Q80" s="121">
        <f t="shared" si="72"/>
        <v>15348.795682663977</v>
      </c>
      <c r="R80" s="90">
        <f aca="true" t="shared" si="88" ref="R80:R92">Q80*J$29</f>
        <v>0.12108459857825031</v>
      </c>
      <c r="S80" s="28"/>
      <c r="T80" s="79">
        <f t="shared" si="73"/>
        <v>3.0892445002128595</v>
      </c>
      <c r="U80" s="80">
        <f t="shared" si="74"/>
        <v>2.603257138851282</v>
      </c>
      <c r="V80" s="80">
        <f t="shared" si="75"/>
        <v>2.205389760115619</v>
      </c>
      <c r="W80" s="80">
        <f t="shared" si="76"/>
        <v>1.9503385273391383</v>
      </c>
      <c r="X80" s="81">
        <f t="shared" si="77"/>
        <v>1.8966224881567426</v>
      </c>
      <c r="Y80" s="165">
        <f t="shared" si="78"/>
        <v>7988.572085120914</v>
      </c>
      <c r="Z80" s="165">
        <f t="shared" si="79"/>
        <v>7333.306310112798</v>
      </c>
      <c r="AA80" s="165">
        <f t="shared" si="80"/>
        <v>6727.906067934018</v>
      </c>
      <c r="AB80" s="165">
        <f t="shared" si="81"/>
        <v>6301.747733678371</v>
      </c>
      <c r="AC80" s="165">
        <f t="shared" si="82"/>
        <v>6207.7290297723</v>
      </c>
      <c r="AD80" s="172">
        <f t="shared" si="83"/>
        <v>748.6252610416711</v>
      </c>
      <c r="AE80" s="173">
        <f t="shared" si="84"/>
        <v>549.2266274480369</v>
      </c>
      <c r="AF80" s="173">
        <f t="shared" si="85"/>
        <v>408.6723030812508</v>
      </c>
      <c r="AG80" s="173">
        <f t="shared" si="86"/>
        <v>329.31496592347406</v>
      </c>
      <c r="AH80" s="174">
        <f t="shared" si="87"/>
        <v>313.6717299095322</v>
      </c>
      <c r="AI80" s="28"/>
      <c r="BX80"/>
    </row>
    <row r="81" spans="1:76" ht="16.5">
      <c r="A81" s="18">
        <v>43</v>
      </c>
      <c r="B81" s="4">
        <v>-0.5973385358568848</v>
      </c>
      <c r="C81" s="11">
        <v>186.95603637908826</v>
      </c>
      <c r="D81" s="4">
        <v>-1.0854266139488287</v>
      </c>
      <c r="E81" s="4">
        <f t="shared" si="60"/>
        <v>1.2389367460399527</v>
      </c>
      <c r="F81" s="83">
        <f t="shared" si="61"/>
        <v>1.1262569613139473</v>
      </c>
      <c r="G81" s="86">
        <f t="shared" si="62"/>
        <v>352.4978296094052</v>
      </c>
      <c r="H81" s="88">
        <f t="shared" si="63"/>
        <v>2.0465267291045555</v>
      </c>
      <c r="I81" s="88">
        <f t="shared" si="64"/>
        <v>2.3359636974592557</v>
      </c>
      <c r="J81" s="57">
        <f t="shared" si="65"/>
        <v>2.3357056379358365</v>
      </c>
      <c r="K81" s="11">
        <f t="shared" si="66"/>
        <v>75.05143885991608</v>
      </c>
      <c r="L81" s="11">
        <f t="shared" si="67"/>
        <v>3890.615853519472</v>
      </c>
      <c r="M81" s="15">
        <f t="shared" si="68"/>
        <v>59.91869673682306</v>
      </c>
      <c r="N81" s="11">
        <f t="shared" si="69"/>
        <v>4313.53531260959</v>
      </c>
      <c r="O81" s="11">
        <f t="shared" si="70"/>
        <v>7129.493675244749</v>
      </c>
      <c r="P81" s="11">
        <f t="shared" si="71"/>
        <v>519.8202974978761</v>
      </c>
      <c r="Q81" s="121">
        <f t="shared" si="72"/>
        <v>15988.435274468427</v>
      </c>
      <c r="R81" s="90">
        <f t="shared" si="88"/>
        <v>0.12613062986368048</v>
      </c>
      <c r="S81" s="28"/>
      <c r="T81" s="79">
        <f t="shared" si="73"/>
        <v>3.229065406335841</v>
      </c>
      <c r="U81" s="80">
        <f t="shared" si="74"/>
        <v>2.733267986140993</v>
      </c>
      <c r="V81" s="80">
        <f t="shared" si="75"/>
        <v>2.3357056379358365</v>
      </c>
      <c r="W81" s="80">
        <f t="shared" si="76"/>
        <v>2.093123079864366</v>
      </c>
      <c r="X81" s="81">
        <f t="shared" si="77"/>
        <v>2.060991044422597</v>
      </c>
      <c r="Y81" s="165">
        <f t="shared" si="78"/>
        <v>8161.733455157404</v>
      </c>
      <c r="Z81" s="165">
        <f t="shared" si="79"/>
        <v>7517.123982128754</v>
      </c>
      <c r="AA81" s="165">
        <f t="shared" si="80"/>
        <v>6933.696364931689</v>
      </c>
      <c r="AB81" s="165">
        <f t="shared" si="81"/>
        <v>6544.296521553604</v>
      </c>
      <c r="AC81" s="165">
        <f t="shared" si="82"/>
        <v>6490.618052452295</v>
      </c>
      <c r="AD81" s="172">
        <f t="shared" si="83"/>
        <v>811.6388113834602</v>
      </c>
      <c r="AE81" s="173">
        <f t="shared" si="84"/>
        <v>599.5834930923013</v>
      </c>
      <c r="AF81" s="173">
        <f t="shared" si="85"/>
        <v>452.45931918563736</v>
      </c>
      <c r="AG81" s="173">
        <f t="shared" si="86"/>
        <v>372.7070833287913</v>
      </c>
      <c r="AH81" s="174">
        <f t="shared" si="87"/>
        <v>362.71278049919044</v>
      </c>
      <c r="AI81" s="28"/>
      <c r="BX81"/>
    </row>
    <row r="82" spans="1:76" ht="16.5">
      <c r="A82" s="18">
        <v>44</v>
      </c>
      <c r="B82" s="4">
        <v>-0.5899700995025388</v>
      </c>
      <c r="C82" s="11">
        <v>192.78678151772814</v>
      </c>
      <c r="D82" s="4">
        <v>-1.1637762674259693</v>
      </c>
      <c r="E82" s="4">
        <f t="shared" si="60"/>
        <v>1.3047758117511823</v>
      </c>
      <c r="F82" s="83">
        <f t="shared" si="61"/>
        <v>1.1123640810794981</v>
      </c>
      <c r="G82" s="86">
        <f t="shared" si="62"/>
        <v>363.4914570214059</v>
      </c>
      <c r="H82" s="88">
        <f t="shared" si="63"/>
        <v>2.194251741552617</v>
      </c>
      <c r="I82" s="88">
        <f t="shared" si="64"/>
        <v>2.460100517089196</v>
      </c>
      <c r="J82" s="57">
        <f t="shared" si="65"/>
        <v>2.459828743872988</v>
      </c>
      <c r="K82" s="11">
        <f t="shared" si="66"/>
        <v>73.21127320954238</v>
      </c>
      <c r="L82" s="11">
        <f t="shared" si="67"/>
        <v>3840.9883718628557</v>
      </c>
      <c r="M82" s="15">
        <f t="shared" si="68"/>
        <v>68.88115482796839</v>
      </c>
      <c r="N82" s="11">
        <f t="shared" si="69"/>
        <v>4693.403383879139</v>
      </c>
      <c r="O82" s="11">
        <f t="shared" si="70"/>
        <v>7322.803660890684</v>
      </c>
      <c r="P82" s="11">
        <f t="shared" si="71"/>
        <v>567.6642710768909</v>
      </c>
      <c r="Q82" s="121">
        <f t="shared" si="72"/>
        <v>16566.95211574708</v>
      </c>
      <c r="R82" s="90">
        <f t="shared" si="88"/>
        <v>0.13069447193606548</v>
      </c>
      <c r="S82" s="28"/>
      <c r="T82" s="79">
        <f t="shared" si="73"/>
        <v>3.346395549291799</v>
      </c>
      <c r="U82" s="80">
        <f t="shared" si="74"/>
        <v>2.8503193929944395</v>
      </c>
      <c r="V82" s="80">
        <f t="shared" si="75"/>
        <v>2.459828743872988</v>
      </c>
      <c r="W82" s="80">
        <f t="shared" si="76"/>
        <v>2.231070055742462</v>
      </c>
      <c r="X82" s="81">
        <f t="shared" si="77"/>
        <v>2.2147390535728864</v>
      </c>
      <c r="Y82" s="165">
        <f t="shared" si="78"/>
        <v>8302.079307951752</v>
      </c>
      <c r="Z82" s="165">
        <f t="shared" si="79"/>
        <v>7677.163264479749</v>
      </c>
      <c r="AA82" s="165">
        <f t="shared" si="80"/>
        <v>7122.778765044884</v>
      </c>
      <c r="AB82" s="165">
        <f t="shared" si="81"/>
        <v>6769.069441212391</v>
      </c>
      <c r="AC82" s="165">
        <f t="shared" si="82"/>
        <v>6742.92752576464</v>
      </c>
      <c r="AD82" s="172">
        <f t="shared" si="83"/>
        <v>866.4630560519347</v>
      </c>
      <c r="AE82" s="173">
        <f t="shared" si="84"/>
        <v>646.7866659024663</v>
      </c>
      <c r="AF82" s="173">
        <f t="shared" si="85"/>
        <v>496.20318886654843</v>
      </c>
      <c r="AG82" s="173">
        <f t="shared" si="86"/>
        <v>417.12768511690535</v>
      </c>
      <c r="AH82" s="174">
        <f t="shared" si="87"/>
        <v>411.7407594465999</v>
      </c>
      <c r="AI82" s="28"/>
      <c r="BX82"/>
    </row>
    <row r="83" spans="1:76" ht="16.5">
      <c r="A83" s="18">
        <v>45</v>
      </c>
      <c r="B83" s="4">
        <v>-0.5820132667816189</v>
      </c>
      <c r="C83" s="11">
        <v>196.4470854530454</v>
      </c>
      <c r="D83" s="4">
        <v>-1.239075168627491</v>
      </c>
      <c r="E83" s="4">
        <f t="shared" si="60"/>
        <v>1.3689582594875043</v>
      </c>
      <c r="F83" s="83">
        <f t="shared" si="61"/>
        <v>1.0973618039719424</v>
      </c>
      <c r="G83" s="86">
        <f t="shared" si="62"/>
        <v>370.3928078303943</v>
      </c>
      <c r="H83" s="88">
        <f t="shared" si="63"/>
        <v>2.3362246874899664</v>
      </c>
      <c r="I83" s="88">
        <f t="shared" si="64"/>
        <v>2.5811138524393193</v>
      </c>
      <c r="J83" s="57">
        <f t="shared" si="65"/>
        <v>2.5808287105891377</v>
      </c>
      <c r="K83" s="11">
        <f t="shared" si="66"/>
        <v>71.24981241333387</v>
      </c>
      <c r="L83" s="11">
        <f t="shared" si="67"/>
        <v>3774.150444396215</v>
      </c>
      <c r="M83" s="15">
        <f t="shared" si="68"/>
        <v>78.08304372848725</v>
      </c>
      <c r="N83" s="11">
        <f t="shared" si="69"/>
        <v>5073.501267749656</v>
      </c>
      <c r="O83" s="11">
        <f t="shared" si="70"/>
        <v>7499.8825010288565</v>
      </c>
      <c r="P83" s="11">
        <f t="shared" si="71"/>
        <v>614.78715069488</v>
      </c>
      <c r="Q83" s="121">
        <f t="shared" si="72"/>
        <v>17111.654220011427</v>
      </c>
      <c r="R83" s="90">
        <f t="shared" si="88"/>
        <v>0.13499155406571237</v>
      </c>
      <c r="S83" s="28"/>
      <c r="T83" s="79">
        <f t="shared" si="73"/>
        <v>3.4498528137081537</v>
      </c>
      <c r="U83" s="80">
        <f t="shared" si="74"/>
        <v>2.960011023437385</v>
      </c>
      <c r="V83" s="80">
        <f t="shared" si="75"/>
        <v>2.5808287105891377</v>
      </c>
      <c r="W83" s="80">
        <f t="shared" si="76"/>
        <v>2.3661190079624355</v>
      </c>
      <c r="X83" s="81">
        <f t="shared" si="77"/>
        <v>2.361184498973064</v>
      </c>
      <c r="Y83" s="165">
        <f t="shared" si="78"/>
        <v>8422.17539862555</v>
      </c>
      <c r="Z83" s="165">
        <f t="shared" si="79"/>
        <v>7822.620936598241</v>
      </c>
      <c r="AA83" s="165">
        <f t="shared" si="80"/>
        <v>7300.930757625566</v>
      </c>
      <c r="AB83" s="165">
        <f t="shared" si="81"/>
        <v>6980.637066851699</v>
      </c>
      <c r="AC83" s="165">
        <f t="shared" si="82"/>
        <v>6973.048345443223</v>
      </c>
      <c r="AD83" s="172">
        <f t="shared" si="83"/>
        <v>916.2787713908934</v>
      </c>
      <c r="AE83" s="173">
        <f t="shared" si="84"/>
        <v>692.6266097199461</v>
      </c>
      <c r="AF83" s="173">
        <f t="shared" si="85"/>
        <v>540.7600584571663</v>
      </c>
      <c r="AG83" s="173">
        <f t="shared" si="86"/>
        <v>462.9938132772034</v>
      </c>
      <c r="AH83" s="174">
        <f t="shared" si="87"/>
        <v>461.27650062919014</v>
      </c>
      <c r="AI83" s="28"/>
      <c r="BX83"/>
    </row>
    <row r="84" spans="1:76" ht="16.5">
      <c r="A84" s="18">
        <v>46</v>
      </c>
      <c r="B84" s="4">
        <v>-0.5731696417058778</v>
      </c>
      <c r="C84" s="11">
        <v>198.3951260814957</v>
      </c>
      <c r="D84" s="4">
        <v>-1.3126336149754054</v>
      </c>
      <c r="E84" s="4">
        <f t="shared" si="60"/>
        <v>1.4323164613089683</v>
      </c>
      <c r="F84" s="83">
        <f t="shared" si="61"/>
        <v>1.080687516768094</v>
      </c>
      <c r="G84" s="86">
        <f t="shared" si="62"/>
        <v>374.06575740088743</v>
      </c>
      <c r="H84" s="88">
        <f t="shared" si="63"/>
        <v>2.4749160782001516</v>
      </c>
      <c r="I84" s="88">
        <f t="shared" si="64"/>
        <v>2.7005731064038994</v>
      </c>
      <c r="J84" s="57">
        <f t="shared" si="65"/>
        <v>2.700274767602849</v>
      </c>
      <c r="K84" s="11">
        <f t="shared" si="66"/>
        <v>69.1009973800997</v>
      </c>
      <c r="L84" s="11">
        <f t="shared" si="67"/>
        <v>3689.1317352594456</v>
      </c>
      <c r="M84" s="15">
        <f t="shared" si="68"/>
        <v>87.62912402369962</v>
      </c>
      <c r="N84" s="11">
        <f t="shared" si="69"/>
        <v>5457.829933505214</v>
      </c>
      <c r="O84" s="11">
        <f t="shared" si="70"/>
        <v>7665.191202105559</v>
      </c>
      <c r="P84" s="11">
        <f t="shared" si="71"/>
        <v>661.9275240058761</v>
      </c>
      <c r="Q84" s="121">
        <f t="shared" si="72"/>
        <v>17630.810516279897</v>
      </c>
      <c r="R84" s="90">
        <f t="shared" si="88"/>
        <v>0.13908710872893842</v>
      </c>
      <c r="S84" s="28"/>
      <c r="T84" s="79">
        <f t="shared" si="73"/>
        <v>3.543519164000726</v>
      </c>
      <c r="U84" s="80">
        <f t="shared" si="74"/>
        <v>3.065002131791376</v>
      </c>
      <c r="V84" s="80">
        <f t="shared" si="75"/>
        <v>2.700274767602849</v>
      </c>
      <c r="W84" s="80">
        <f t="shared" si="76"/>
        <v>2.4996530406520887</v>
      </c>
      <c r="X84" s="81">
        <f t="shared" si="77"/>
        <v>2.502914816199607</v>
      </c>
      <c r="Y84" s="165">
        <f t="shared" si="78"/>
        <v>8528.015496200616</v>
      </c>
      <c r="Z84" s="165">
        <f t="shared" si="79"/>
        <v>7957.880094793219</v>
      </c>
      <c r="AA84" s="165">
        <f t="shared" si="80"/>
        <v>7471.08990811513</v>
      </c>
      <c r="AB84" s="165">
        <f t="shared" si="81"/>
        <v>7182.071544061316</v>
      </c>
      <c r="AC84" s="165">
        <f t="shared" si="82"/>
        <v>7186.898967357511</v>
      </c>
      <c r="AD84" s="172">
        <f t="shared" si="83"/>
        <v>962.5713574157498</v>
      </c>
      <c r="AE84" s="173">
        <f t="shared" si="84"/>
        <v>737.9564884111535</v>
      </c>
      <c r="AF84" s="173">
        <f t="shared" si="85"/>
        <v>586.5977647988809</v>
      </c>
      <c r="AG84" s="173">
        <f t="shared" si="86"/>
        <v>510.65945671624524</v>
      </c>
      <c r="AH84" s="174">
        <f t="shared" si="87"/>
        <v>511.85255268735096</v>
      </c>
      <c r="AI84" s="28"/>
      <c r="BX84"/>
    </row>
    <row r="85" spans="1:76" ht="16.5">
      <c r="A85" s="18">
        <v>47</v>
      </c>
      <c r="B85" s="4">
        <v>-0.5638422032320918</v>
      </c>
      <c r="C85" s="11">
        <v>198.77989350058206</v>
      </c>
      <c r="D85" s="4">
        <v>-1.3853539176118572</v>
      </c>
      <c r="E85" s="4">
        <f t="shared" si="60"/>
        <v>1.495701677203091</v>
      </c>
      <c r="F85" s="83">
        <f t="shared" si="61"/>
        <v>1.0631010195278658</v>
      </c>
      <c r="G85" s="86">
        <f t="shared" si="62"/>
        <v>374.7912203640482</v>
      </c>
      <c r="H85" s="88">
        <f t="shared" si="63"/>
        <v>2.6120271838074136</v>
      </c>
      <c r="I85" s="88">
        <f t="shared" si="64"/>
        <v>2.820083294278748</v>
      </c>
      <c r="J85" s="57">
        <f t="shared" si="65"/>
        <v>2.8197717529000377</v>
      </c>
      <c r="K85" s="11">
        <f t="shared" si="66"/>
        <v>66.87027595453941</v>
      </c>
      <c r="L85" s="11">
        <f t="shared" si="67"/>
        <v>3591.2508892963324</v>
      </c>
      <c r="M85" s="15">
        <f t="shared" si="68"/>
        <v>97.60743518483756</v>
      </c>
      <c r="N85" s="11">
        <f t="shared" si="69"/>
        <v>5851.047979937189</v>
      </c>
      <c r="O85" s="11">
        <f t="shared" si="70"/>
        <v>7821.978892414672</v>
      </c>
      <c r="P85" s="11">
        <f t="shared" si="71"/>
        <v>709.7485627843328</v>
      </c>
      <c r="Q85" s="121">
        <f t="shared" si="72"/>
        <v>18138.504035571903</v>
      </c>
      <c r="R85" s="90">
        <f t="shared" si="88"/>
        <v>0.14309223507599672</v>
      </c>
      <c r="S85" s="28"/>
      <c r="T85" s="79">
        <f t="shared" si="73"/>
        <v>3.6303155007621286</v>
      </c>
      <c r="U85" s="80">
        <f t="shared" si="74"/>
        <v>3.167542731486051</v>
      </c>
      <c r="V85" s="80">
        <f t="shared" si="75"/>
        <v>2.8197717529000377</v>
      </c>
      <c r="W85" s="80">
        <f t="shared" si="76"/>
        <v>2.63297322110619</v>
      </c>
      <c r="X85" s="81">
        <f t="shared" si="77"/>
        <v>2.641520904633951</v>
      </c>
      <c r="Y85" s="165">
        <f t="shared" si="78"/>
        <v>8623.686032210568</v>
      </c>
      <c r="Z85" s="165">
        <f t="shared" si="79"/>
        <v>8086.344035710376</v>
      </c>
      <c r="AA85" s="165">
        <f t="shared" si="80"/>
        <v>7635.883749706515</v>
      </c>
      <c r="AB85" s="165">
        <f t="shared" si="81"/>
        <v>7375.896792007443</v>
      </c>
      <c r="AC85" s="165">
        <f t="shared" si="82"/>
        <v>7388.083852438458</v>
      </c>
      <c r="AD85" s="172">
        <f t="shared" si="83"/>
        <v>1006.4792014071137</v>
      </c>
      <c r="AE85" s="173">
        <f t="shared" si="84"/>
        <v>783.6013817977699</v>
      </c>
      <c r="AF85" s="173">
        <f t="shared" si="85"/>
        <v>634.2972635307706</v>
      </c>
      <c r="AG85" s="173">
        <f t="shared" si="86"/>
        <v>560.5442092554471</v>
      </c>
      <c r="AH85" s="174">
        <f t="shared" si="87"/>
        <v>563.8207579305621</v>
      </c>
      <c r="AI85" s="28"/>
      <c r="BX85"/>
    </row>
    <row r="86" spans="1:76" ht="16.5">
      <c r="A86" s="18">
        <v>48</v>
      </c>
      <c r="B86" s="4">
        <v>-0.553885694261746</v>
      </c>
      <c r="C86" s="11">
        <v>197.80678894011174</v>
      </c>
      <c r="D86" s="4">
        <v>-1.4583924395940684</v>
      </c>
      <c r="E86" s="4">
        <f t="shared" si="60"/>
        <v>1.5600313683298022</v>
      </c>
      <c r="F86" s="83">
        <f t="shared" si="61"/>
        <v>1.044328436034402</v>
      </c>
      <c r="G86" s="86">
        <f t="shared" si="62"/>
        <v>372.95647219441287</v>
      </c>
      <c r="H86" s="88">
        <f t="shared" si="63"/>
        <v>2.7497382787538407</v>
      </c>
      <c r="I86" s="88">
        <f t="shared" si="64"/>
        <v>2.9413742509164313</v>
      </c>
      <c r="J86" s="57">
        <f t="shared" si="65"/>
        <v>2.941049310234256</v>
      </c>
      <c r="K86" s="11">
        <f t="shared" si="66"/>
        <v>64.52949305216848</v>
      </c>
      <c r="L86" s="11">
        <f t="shared" si="67"/>
        <v>3480.4002486375484</v>
      </c>
      <c r="M86" s="15">
        <f t="shared" si="68"/>
        <v>108.17084820195447</v>
      </c>
      <c r="N86" s="11">
        <f t="shared" si="69"/>
        <v>6258.730679680446</v>
      </c>
      <c r="O86" s="11">
        <f t="shared" si="70"/>
        <v>7973.47990180706</v>
      </c>
      <c r="P86" s="11">
        <f t="shared" si="71"/>
        <v>759.1383819146707</v>
      </c>
      <c r="Q86" s="121">
        <f t="shared" si="72"/>
        <v>18644.44955329385</v>
      </c>
      <c r="R86" s="90">
        <f t="shared" si="88"/>
        <v>0.1470835716721976</v>
      </c>
      <c r="S86" s="28"/>
      <c r="T86" s="79">
        <f t="shared" si="73"/>
        <v>3.713139639916655</v>
      </c>
      <c r="U86" s="80">
        <f t="shared" si="74"/>
        <v>3.2698559624786014</v>
      </c>
      <c r="V86" s="80">
        <f t="shared" si="75"/>
        <v>2.941049310234256</v>
      </c>
      <c r="W86" s="80">
        <f t="shared" si="76"/>
        <v>2.767823165438496</v>
      </c>
      <c r="X86" s="81">
        <f t="shared" si="77"/>
        <v>2.7794208218768564</v>
      </c>
      <c r="Y86" s="165">
        <f t="shared" si="78"/>
        <v>8712.854733127462</v>
      </c>
      <c r="Z86" s="165">
        <f t="shared" si="79"/>
        <v>8211.03182428428</v>
      </c>
      <c r="AA86" s="165">
        <f t="shared" si="80"/>
        <v>7797.782748252443</v>
      </c>
      <c r="AB86" s="165">
        <f t="shared" si="81"/>
        <v>7564.897940365885</v>
      </c>
      <c r="AC86" s="165">
        <f t="shared" si="82"/>
        <v>7580.832263005224</v>
      </c>
      <c r="AD86" s="172">
        <f t="shared" si="83"/>
        <v>1049.2840469577395</v>
      </c>
      <c r="AE86" s="173">
        <f t="shared" si="84"/>
        <v>830.4973634871261</v>
      </c>
      <c r="AF86" s="173">
        <f t="shared" si="85"/>
        <v>684.5915418555445</v>
      </c>
      <c r="AG86" s="173">
        <f t="shared" si="86"/>
        <v>613.334590124217</v>
      </c>
      <c r="AH86" s="174">
        <f t="shared" si="87"/>
        <v>617.9843671487264</v>
      </c>
      <c r="AI86" s="28"/>
      <c r="BX86"/>
    </row>
    <row r="87" spans="1:76" ht="16.5">
      <c r="A87" s="18">
        <v>49</v>
      </c>
      <c r="B87" s="4">
        <v>-0.5431440402046857</v>
      </c>
      <c r="C87" s="11">
        <v>195.4771629223311</v>
      </c>
      <c r="D87" s="4">
        <v>-1.5324290050316072</v>
      </c>
      <c r="E87" s="4">
        <f t="shared" si="60"/>
        <v>1.6258364320779723</v>
      </c>
      <c r="F87" s="83">
        <f t="shared" si="61"/>
        <v>1.0240754941403452</v>
      </c>
      <c r="G87" s="86">
        <f t="shared" si="62"/>
        <v>368.56405924549813</v>
      </c>
      <c r="H87" s="88">
        <f t="shared" si="63"/>
        <v>2.8893311431187505</v>
      </c>
      <c r="I87" s="88">
        <f t="shared" si="64"/>
        <v>3.065446961259434</v>
      </c>
      <c r="J87" s="57">
        <f t="shared" si="65"/>
        <v>3.065108313966777</v>
      </c>
      <c r="K87" s="11">
        <f t="shared" si="66"/>
        <v>62.05088693530453</v>
      </c>
      <c r="L87" s="11">
        <f t="shared" si="67"/>
        <v>3355.4593367013345</v>
      </c>
      <c r="M87" s="15">
        <f t="shared" si="68"/>
        <v>119.43239837888046</v>
      </c>
      <c r="N87" s="11">
        <f t="shared" si="69"/>
        <v>6684.419834525034</v>
      </c>
      <c r="O87" s="11">
        <f t="shared" si="70"/>
        <v>8121.3309863869845</v>
      </c>
      <c r="P87" s="11">
        <f t="shared" si="71"/>
        <v>810.6423332912775</v>
      </c>
      <c r="Q87" s="121">
        <f t="shared" si="72"/>
        <v>19153.335776218817</v>
      </c>
      <c r="R87" s="90">
        <f t="shared" si="88"/>
        <v>0.15109810709887395</v>
      </c>
      <c r="S87" s="28"/>
      <c r="T87" s="79">
        <f t="shared" si="73"/>
        <v>3.7933374159753055</v>
      </c>
      <c r="U87" s="80">
        <f t="shared" si="74"/>
        <v>3.373106856900821</v>
      </c>
      <c r="V87" s="80">
        <f t="shared" si="75"/>
        <v>3.065108313966777</v>
      </c>
      <c r="W87" s="80">
        <f t="shared" si="76"/>
        <v>2.905258349315766</v>
      </c>
      <c r="X87" s="81">
        <f t="shared" si="77"/>
        <v>2.918006368710232</v>
      </c>
      <c r="Y87" s="165">
        <f t="shared" si="78"/>
        <v>8797.248584585182</v>
      </c>
      <c r="Z87" s="165">
        <f t="shared" si="79"/>
        <v>8333.41121658427</v>
      </c>
      <c r="AA87" s="165">
        <f t="shared" si="80"/>
        <v>7958.014963523058</v>
      </c>
      <c r="AB87" s="165">
        <f t="shared" si="81"/>
        <v>7750.552800282113</v>
      </c>
      <c r="AC87" s="165">
        <f t="shared" si="82"/>
        <v>7767.427366960296</v>
      </c>
      <c r="AD87" s="172">
        <f t="shared" si="83"/>
        <v>1091.5750849363906</v>
      </c>
      <c r="AE87" s="173">
        <f t="shared" si="84"/>
        <v>879.1925540392389</v>
      </c>
      <c r="AF87" s="173">
        <f t="shared" si="85"/>
        <v>738.0030525451516</v>
      </c>
      <c r="AG87" s="173">
        <f t="shared" si="86"/>
        <v>669.5514804946102</v>
      </c>
      <c r="AH87" s="174">
        <f t="shared" si="87"/>
        <v>674.8894944409961</v>
      </c>
      <c r="AI87" s="28"/>
      <c r="BX87"/>
    </row>
    <row r="88" spans="1:76" ht="16.5">
      <c r="A88" s="18">
        <v>50</v>
      </c>
      <c r="B88" s="4">
        <v>-0.5318523069431151</v>
      </c>
      <c r="C88" s="11">
        <v>191.67859495808676</v>
      </c>
      <c r="D88" s="4">
        <v>-1.6083404901146503</v>
      </c>
      <c r="E88" s="4">
        <f t="shared" si="60"/>
        <v>1.6939970509251032</v>
      </c>
      <c r="F88" s="83">
        <f t="shared" si="61"/>
        <v>1.0027854007883386</v>
      </c>
      <c r="G88" s="86">
        <f t="shared" si="62"/>
        <v>361.4020173614645</v>
      </c>
      <c r="H88" s="88">
        <f t="shared" si="63"/>
        <v>3.032459090482489</v>
      </c>
      <c r="I88" s="88">
        <f t="shared" si="64"/>
        <v>3.1939609727553204</v>
      </c>
      <c r="J88" s="57">
        <f t="shared" si="65"/>
        <v>3.19360812821097</v>
      </c>
      <c r="K88" s="11">
        <f t="shared" si="66"/>
        <v>59.49768270346376</v>
      </c>
      <c r="L88" s="11">
        <f t="shared" si="67"/>
        <v>3218.9070694054344</v>
      </c>
      <c r="M88" s="15">
        <f t="shared" si="68"/>
        <v>131.5580469885069</v>
      </c>
      <c r="N88" s="11">
        <f t="shared" si="69"/>
        <v>7134.257552584243</v>
      </c>
      <c r="O88" s="11">
        <f t="shared" si="70"/>
        <v>8267.53478412102</v>
      </c>
      <c r="P88" s="11">
        <f t="shared" si="71"/>
        <v>865.1077991657388</v>
      </c>
      <c r="Q88" s="121">
        <f t="shared" si="72"/>
        <v>19676.86293496841</v>
      </c>
      <c r="R88" s="90">
        <f t="shared" si="88"/>
        <v>0.15522814291227688</v>
      </c>
      <c r="S88" s="28"/>
      <c r="T88" s="79">
        <f t="shared" si="73"/>
        <v>3.872663096835011</v>
      </c>
      <c r="U88" s="80">
        <f t="shared" si="74"/>
        <v>3.4790546095681214</v>
      </c>
      <c r="V88" s="80">
        <f t="shared" si="75"/>
        <v>3.19360812821097</v>
      </c>
      <c r="W88" s="80">
        <f t="shared" si="76"/>
        <v>3.0468762958547733</v>
      </c>
      <c r="X88" s="81">
        <f t="shared" si="77"/>
        <v>3.058886698352322</v>
      </c>
      <c r="Y88" s="165">
        <f t="shared" si="78"/>
        <v>8878.865364173897</v>
      </c>
      <c r="Z88" s="165">
        <f t="shared" si="79"/>
        <v>8455.464595460044</v>
      </c>
      <c r="AA88" s="165">
        <f t="shared" si="80"/>
        <v>8118.437217744233</v>
      </c>
      <c r="AB88" s="165">
        <f t="shared" si="81"/>
        <v>7934.800754654888</v>
      </c>
      <c r="AC88" s="165">
        <f t="shared" si="82"/>
        <v>7950.105988572031</v>
      </c>
      <c r="AD88" s="172">
        <f t="shared" si="83"/>
        <v>1134.2226978282317</v>
      </c>
      <c r="AE88" s="173">
        <f t="shared" si="84"/>
        <v>930.5896747304007</v>
      </c>
      <c r="AF88" s="173">
        <f t="shared" si="85"/>
        <v>795.4204081113071</v>
      </c>
      <c r="AG88" s="173">
        <f t="shared" si="86"/>
        <v>730.0290766320686</v>
      </c>
      <c r="AH88" s="174">
        <f t="shared" si="87"/>
        <v>735.2771385266857</v>
      </c>
      <c r="AI88" s="28"/>
      <c r="BX88"/>
    </row>
    <row r="89" spans="1:76" ht="16.5">
      <c r="A89" s="18">
        <v>51</v>
      </c>
      <c r="B89" s="4">
        <v>-0.5197396600150359</v>
      </c>
      <c r="C89" s="11">
        <v>186.28593034491297</v>
      </c>
      <c r="D89" s="4">
        <v>-1.68723168296781</v>
      </c>
      <c r="E89" s="4">
        <f t="shared" si="60"/>
        <v>1.7654687950238412</v>
      </c>
      <c r="F89" s="83">
        <f t="shared" si="61"/>
        <v>0.9799475088664357</v>
      </c>
      <c r="G89" s="86">
        <f t="shared" si="62"/>
        <v>351.2343725569889</v>
      </c>
      <c r="H89" s="88">
        <f t="shared" si="63"/>
        <v>3.1812051528971197</v>
      </c>
      <c r="I89" s="88">
        <f t="shared" si="64"/>
        <v>3.3287179731771688</v>
      </c>
      <c r="J89" s="57">
        <f t="shared" si="65"/>
        <v>3.3283502417031356</v>
      </c>
      <c r="K89" s="11">
        <f t="shared" si="66"/>
        <v>56.81848800834628</v>
      </c>
      <c r="L89" s="11">
        <f t="shared" si="67"/>
        <v>3068.2397722770193</v>
      </c>
      <c r="M89" s="15">
        <f t="shared" si="68"/>
        <v>144.78076622750564</v>
      </c>
      <c r="N89" s="11">
        <f t="shared" si="69"/>
        <v>7615.348222238535</v>
      </c>
      <c r="O89" s="11">
        <f t="shared" si="70"/>
        <v>8414.09258159096</v>
      </c>
      <c r="P89" s="11">
        <f t="shared" si="71"/>
        <v>923.5879129739114</v>
      </c>
      <c r="Q89" s="121">
        <f t="shared" si="72"/>
        <v>20222.867743316274</v>
      </c>
      <c r="R89" s="90">
        <f t="shared" si="88"/>
        <v>0.1595355019004005</v>
      </c>
      <c r="S89" s="28"/>
      <c r="T89" s="79">
        <f t="shared" si="73"/>
        <v>3.9528212273854075</v>
      </c>
      <c r="U89" s="80">
        <f t="shared" si="74"/>
        <v>3.589468428905181</v>
      </c>
      <c r="V89" s="80">
        <f t="shared" si="75"/>
        <v>3.3283502417031356</v>
      </c>
      <c r="W89" s="80">
        <f t="shared" si="76"/>
        <v>3.1946346964376944</v>
      </c>
      <c r="X89" s="81">
        <f t="shared" si="77"/>
        <v>3.2043111800856257</v>
      </c>
      <c r="Y89" s="165">
        <f t="shared" si="78"/>
        <v>8959.484149723783</v>
      </c>
      <c r="Z89" s="165">
        <f t="shared" si="79"/>
        <v>8578.948525630076</v>
      </c>
      <c r="AA89" s="165">
        <f t="shared" si="80"/>
        <v>8280.783450629197</v>
      </c>
      <c r="AB89" s="165">
        <f t="shared" si="81"/>
        <v>8119.696574256274</v>
      </c>
      <c r="AC89" s="165">
        <f t="shared" si="82"/>
        <v>8131.55020771547</v>
      </c>
      <c r="AD89" s="172">
        <f t="shared" si="83"/>
        <v>1178.1426815759387</v>
      </c>
      <c r="AE89" s="173">
        <f t="shared" si="84"/>
        <v>985.6947100976457</v>
      </c>
      <c r="AF89" s="173">
        <f t="shared" si="85"/>
        <v>857.9155228395329</v>
      </c>
      <c r="AG89" s="173">
        <f t="shared" si="86"/>
        <v>795.887686986864</v>
      </c>
      <c r="AH89" s="174">
        <f t="shared" si="87"/>
        <v>800.2989633695759</v>
      </c>
      <c r="AI89" s="28"/>
      <c r="BX89"/>
    </row>
    <row r="90" spans="1:76" ht="16.5">
      <c r="A90" s="18">
        <v>52</v>
      </c>
      <c r="B90" s="4">
        <v>-0.507115608884023</v>
      </c>
      <c r="C90" s="11">
        <v>179.04529282170077</v>
      </c>
      <c r="D90" s="4">
        <v>-1.7698720892038968</v>
      </c>
      <c r="E90" s="4">
        <f t="shared" si="60"/>
        <v>1.8410902891810548</v>
      </c>
      <c r="F90" s="83">
        <f t="shared" si="61"/>
        <v>0.9561453855932555</v>
      </c>
      <c r="G90" s="86">
        <f t="shared" si="62"/>
        <v>337.5824517024761</v>
      </c>
      <c r="H90" s="88">
        <f t="shared" si="63"/>
        <v>3.337020201185758</v>
      </c>
      <c r="I90" s="88">
        <f t="shared" si="64"/>
        <v>3.471299154713278</v>
      </c>
      <c r="J90" s="57">
        <f t="shared" si="65"/>
        <v>3.470915671953471</v>
      </c>
      <c r="K90" s="11">
        <f t="shared" si="66"/>
        <v>54.091859712579314</v>
      </c>
      <c r="L90" s="11">
        <f t="shared" si="67"/>
        <v>2906.3975308530307</v>
      </c>
      <c r="M90" s="15">
        <f t="shared" si="68"/>
        <v>159.31078870217073</v>
      </c>
      <c r="N90" s="11">
        <f t="shared" si="69"/>
        <v>8134.480974195853</v>
      </c>
      <c r="O90" s="11">
        <f t="shared" si="70"/>
        <v>8562.330269155795</v>
      </c>
      <c r="P90" s="11">
        <f t="shared" si="71"/>
        <v>987.1160084467053</v>
      </c>
      <c r="Q90" s="121">
        <f t="shared" si="72"/>
        <v>20803.727431066134</v>
      </c>
      <c r="R90" s="90">
        <f t="shared" si="88"/>
        <v>0.16411782637559819</v>
      </c>
      <c r="S90" s="28"/>
      <c r="T90" s="79">
        <f t="shared" si="73"/>
        <v>4.035477551568385</v>
      </c>
      <c r="U90" s="80">
        <f t="shared" si="74"/>
        <v>3.7060354147408563</v>
      </c>
      <c r="V90" s="80">
        <f t="shared" si="75"/>
        <v>3.470915671953471</v>
      </c>
      <c r="W90" s="80">
        <f t="shared" si="76"/>
        <v>3.3500373712406137</v>
      </c>
      <c r="X90" s="81">
        <f t="shared" si="77"/>
        <v>3.3557685939294073</v>
      </c>
      <c r="Y90" s="165">
        <f t="shared" si="78"/>
        <v>9040.687206578725</v>
      </c>
      <c r="Z90" s="165">
        <f t="shared" si="79"/>
        <v>8705.286828459914</v>
      </c>
      <c r="AA90" s="165">
        <f t="shared" si="80"/>
        <v>8446.213168291148</v>
      </c>
      <c r="AB90" s="165">
        <f t="shared" si="81"/>
        <v>8306.364503209905</v>
      </c>
      <c r="AC90" s="165">
        <f t="shared" si="82"/>
        <v>8313.099639239292</v>
      </c>
      <c r="AD90" s="172">
        <f t="shared" si="83"/>
        <v>1224.2997597635701</v>
      </c>
      <c r="AE90" s="173">
        <f t="shared" si="84"/>
        <v>1045.5777617385452</v>
      </c>
      <c r="AF90" s="173">
        <f t="shared" si="85"/>
        <v>926.5899706769704</v>
      </c>
      <c r="AG90" s="173">
        <f t="shared" si="86"/>
        <v>868.193176212345</v>
      </c>
      <c r="AH90" s="174">
        <f t="shared" si="87"/>
        <v>870.9193738420968</v>
      </c>
      <c r="AI90" s="28"/>
      <c r="BX90"/>
    </row>
    <row r="91" spans="1:76" ht="16.5">
      <c r="A91" s="18">
        <v>53</v>
      </c>
      <c r="B91" s="4">
        <v>-0.4933396757856654</v>
      </c>
      <c r="C91" s="11">
        <v>169.5704965161943</v>
      </c>
      <c r="D91" s="4">
        <v>-1.857988197278325</v>
      </c>
      <c r="E91" s="4">
        <f t="shared" si="60"/>
        <v>1.9223694173935106</v>
      </c>
      <c r="F91" s="83">
        <f t="shared" si="61"/>
        <v>0.9301714367865479</v>
      </c>
      <c r="G91" s="86">
        <f t="shared" si="62"/>
        <v>319.7181174003192</v>
      </c>
      <c r="H91" s="88">
        <f t="shared" si="63"/>
        <v>3.5031594575127505</v>
      </c>
      <c r="I91" s="88">
        <f t="shared" si="64"/>
        <v>3.6245475699147027</v>
      </c>
      <c r="J91" s="57">
        <f t="shared" si="65"/>
        <v>3.6241471574341837</v>
      </c>
      <c r="K91" s="11">
        <f t="shared" si="66"/>
        <v>51.19293681777556</v>
      </c>
      <c r="L91" s="11">
        <f t="shared" si="67"/>
        <v>2727.016596200945</v>
      </c>
      <c r="M91" s="15">
        <f t="shared" si="68"/>
        <v>175.56879498603107</v>
      </c>
      <c r="N91" s="11">
        <f t="shared" si="69"/>
        <v>8703.624846805773</v>
      </c>
      <c r="O91" s="11">
        <f t="shared" si="70"/>
        <v>8714.68646526947</v>
      </c>
      <c r="P91" s="11">
        <f t="shared" si="71"/>
        <v>1057.486876833569</v>
      </c>
      <c r="Q91" s="121">
        <f t="shared" si="72"/>
        <v>21429.576516913563</v>
      </c>
      <c r="R91" s="90">
        <f t="shared" si="88"/>
        <v>0.1690550662019119</v>
      </c>
      <c r="S91" s="28"/>
      <c r="T91" s="79">
        <f t="shared" si="73"/>
        <v>4.122727597898117</v>
      </c>
      <c r="U91" s="80">
        <f t="shared" si="74"/>
        <v>3.831272756381121</v>
      </c>
      <c r="V91" s="80">
        <f t="shared" si="75"/>
        <v>3.6241471574341837</v>
      </c>
      <c r="W91" s="80">
        <f t="shared" si="76"/>
        <v>3.516284672963925</v>
      </c>
      <c r="X91" s="81">
        <f t="shared" si="77"/>
        <v>3.51683050224722</v>
      </c>
      <c r="Y91" s="165">
        <f t="shared" si="78"/>
        <v>9124.304756182095</v>
      </c>
      <c r="Z91" s="165">
        <f t="shared" si="79"/>
        <v>8836.508809387975</v>
      </c>
      <c r="AA91" s="165">
        <f t="shared" si="80"/>
        <v>8616.96260711819</v>
      </c>
      <c r="AB91" s="165">
        <f t="shared" si="81"/>
        <v>8497.521375308836</v>
      </c>
      <c r="AC91" s="165">
        <f t="shared" si="82"/>
        <v>8498.134778350253</v>
      </c>
      <c r="AD91" s="172">
        <f t="shared" si="83"/>
        <v>1273.9785435924912</v>
      </c>
      <c r="AE91" s="173">
        <f t="shared" si="84"/>
        <v>1111.868833955783</v>
      </c>
      <c r="AF91" s="173">
        <f t="shared" si="85"/>
        <v>1003.3267200593755</v>
      </c>
      <c r="AG91" s="173">
        <f t="shared" si="86"/>
        <v>948.9945612477266</v>
      </c>
      <c r="AH91" s="174">
        <f t="shared" si="87"/>
        <v>949.265725312469</v>
      </c>
      <c r="AI91" s="28"/>
      <c r="BX91"/>
    </row>
    <row r="92" spans="1:76" ht="16.5">
      <c r="A92" s="18">
        <v>54</v>
      </c>
      <c r="B92" s="4">
        <v>-0.4787903408554657</v>
      </c>
      <c r="C92" s="11">
        <v>157.24990032700651</v>
      </c>
      <c r="D92" s="4">
        <v>-1.9528091483623131</v>
      </c>
      <c r="E92" s="4">
        <f t="shared" si="60"/>
        <v>2.010647597274081</v>
      </c>
      <c r="F92" s="83">
        <f t="shared" si="61"/>
        <v>0.902739270997814</v>
      </c>
      <c r="G92" s="86">
        <f t="shared" si="62"/>
        <v>296.48814579685416</v>
      </c>
      <c r="H92" s="88">
        <f t="shared" si="63"/>
        <v>3.6819404164267038</v>
      </c>
      <c r="I92" s="88">
        <f t="shared" si="64"/>
        <v>3.790992405890324</v>
      </c>
      <c r="J92" s="57">
        <f t="shared" si="65"/>
        <v>3.7905736058487767</v>
      </c>
      <c r="K92" s="11">
        <f t="shared" si="66"/>
        <v>48.21794722164761</v>
      </c>
      <c r="L92" s="11">
        <f t="shared" si="67"/>
        <v>2533.4381237562807</v>
      </c>
      <c r="M92" s="15">
        <f t="shared" si="68"/>
        <v>193.94609002733444</v>
      </c>
      <c r="N92" s="11">
        <f t="shared" si="69"/>
        <v>9334.401617069188</v>
      </c>
      <c r="O92" s="11">
        <f t="shared" si="70"/>
        <v>8872.71360461664</v>
      </c>
      <c r="P92" s="11">
        <f t="shared" si="71"/>
        <v>1136.5637816655342</v>
      </c>
      <c r="Q92" s="121">
        <f t="shared" si="72"/>
        <v>22119.281164356624</v>
      </c>
      <c r="R92" s="90">
        <f t="shared" si="88"/>
        <v>0.1744960540227037</v>
      </c>
      <c r="S92" s="28"/>
      <c r="T92" s="79">
        <f t="shared" si="73"/>
        <v>4.21694815591105</v>
      </c>
      <c r="U92" s="80">
        <f t="shared" si="74"/>
        <v>3.9677114140670384</v>
      </c>
      <c r="V92" s="80">
        <f t="shared" si="75"/>
        <v>3.7905736058487767</v>
      </c>
      <c r="W92" s="80">
        <f t="shared" si="76"/>
        <v>3.6959159808848794</v>
      </c>
      <c r="X92" s="81">
        <f t="shared" si="77"/>
        <v>3.690091312491654</v>
      </c>
      <c r="Y92" s="165">
        <f t="shared" si="78"/>
        <v>9212.211638181998</v>
      </c>
      <c r="Z92" s="165">
        <f t="shared" si="79"/>
        <v>8974.25643611443</v>
      </c>
      <c r="AA92" s="165">
        <f t="shared" si="80"/>
        <v>8794.37175454438</v>
      </c>
      <c r="AB92" s="165">
        <f t="shared" si="81"/>
        <v>8694.480927461824</v>
      </c>
      <c r="AC92" s="165">
        <f t="shared" si="82"/>
        <v>8688.247266780572</v>
      </c>
      <c r="AD92" s="172">
        <f t="shared" si="83"/>
        <v>1328.7294117729955</v>
      </c>
      <c r="AE92" s="173">
        <f t="shared" si="84"/>
        <v>1186.3925793841702</v>
      </c>
      <c r="AF92" s="173">
        <f t="shared" si="85"/>
        <v>1090.1038248773643</v>
      </c>
      <c r="AG92" s="173">
        <f t="shared" si="86"/>
        <v>1040.3096829990807</v>
      </c>
      <c r="AH92" s="174">
        <f t="shared" si="87"/>
        <v>1037.28340929406</v>
      </c>
      <c r="AI92" s="28"/>
      <c r="BX92"/>
    </row>
    <row r="93" spans="1:76" ht="16.5">
      <c r="A93" s="11">
        <f>J26</f>
        <v>55.21613681534294</v>
      </c>
      <c r="B93" s="4">
        <v>-0.4635021370273096</v>
      </c>
      <c r="C93" s="11">
        <v>140.2893426549694</v>
      </c>
      <c r="D93" s="4">
        <v>-2.0562244163677725</v>
      </c>
      <c r="E93" s="4">
        <f t="shared" si="60"/>
        <v>2.1078171366358776</v>
      </c>
      <c r="F93" s="83">
        <f t="shared" si="61"/>
        <v>0.8739139986373972</v>
      </c>
      <c r="G93" s="86">
        <f t="shared" si="62"/>
        <v>264.509719830251</v>
      </c>
      <c r="H93" s="88">
        <f t="shared" si="63"/>
        <v>3.8769256023903322</v>
      </c>
      <c r="I93" s="88">
        <f t="shared" si="64"/>
        <v>3.9742015303056846</v>
      </c>
      <c r="J93" s="57">
        <f t="shared" si="65"/>
        <v>3.9737624907118767</v>
      </c>
      <c r="K93" s="11">
        <f t="shared" si="66"/>
        <v>45.187825008862916</v>
      </c>
      <c r="L93" s="11">
        <f t="shared" si="67"/>
        <v>2322.1874280824754</v>
      </c>
      <c r="M93" s="15">
        <f t="shared" si="68"/>
        <v>215.03168115202917</v>
      </c>
      <c r="N93" s="11">
        <f t="shared" si="69"/>
        <v>10043.3121029551</v>
      </c>
      <c r="O93" s="11">
        <f t="shared" si="70"/>
        <v>9037.895312249015</v>
      </c>
      <c r="P93" s="11">
        <f t="shared" si="71"/>
        <v>1226.6351800332468</v>
      </c>
      <c r="Q93" s="121">
        <f t="shared" si="72"/>
        <v>22890.24952948073</v>
      </c>
      <c r="R93" s="90">
        <f>Q93*J$29*(A93-A92)</f>
        <v>0.21960770033154056</v>
      </c>
      <c r="S93" s="28"/>
      <c r="T93" s="79">
        <f t="shared" si="73"/>
        <v>4.318484524315632</v>
      </c>
      <c r="U93" s="80">
        <f t="shared" si="74"/>
        <v>4.117663649992096</v>
      </c>
      <c r="V93" s="80">
        <f t="shared" si="75"/>
        <v>3.9737624907118767</v>
      </c>
      <c r="W93" s="80">
        <f t="shared" si="76"/>
        <v>3.8930979670592545</v>
      </c>
      <c r="X93" s="81">
        <f t="shared" si="77"/>
        <v>3.879616511984523</v>
      </c>
      <c r="Y93" s="165">
        <f t="shared" si="78"/>
        <v>9304.19894891109</v>
      </c>
      <c r="Z93" s="165">
        <f t="shared" si="79"/>
        <v>9119.510095817976</v>
      </c>
      <c r="AA93" s="165">
        <f t="shared" si="80"/>
        <v>8980.241474808936</v>
      </c>
      <c r="AB93" s="165">
        <f t="shared" si="81"/>
        <v>8899.593793441407</v>
      </c>
      <c r="AC93" s="165">
        <f t="shared" si="82"/>
        <v>8885.932248265668</v>
      </c>
      <c r="AD93" s="172">
        <f t="shared" si="83"/>
        <v>1389.0138790104352</v>
      </c>
      <c r="AE93" s="173">
        <f t="shared" si="84"/>
        <v>1271.0683599931335</v>
      </c>
      <c r="AF93" s="173">
        <f t="shared" si="85"/>
        <v>1189.7533501261573</v>
      </c>
      <c r="AG93" s="173">
        <f t="shared" si="86"/>
        <v>1145.3405627997702</v>
      </c>
      <c r="AH93" s="174">
        <f t="shared" si="87"/>
        <v>1137.999748236738</v>
      </c>
      <c r="AI93" s="28"/>
      <c r="BX93"/>
    </row>
    <row r="94" spans="1:76" ht="6" customHeight="1">
      <c r="A94" s="11"/>
      <c r="B94" s="4"/>
      <c r="D94" s="4"/>
      <c r="E94" s="4"/>
      <c r="F94" s="83"/>
      <c r="G94" s="86"/>
      <c r="H94" s="88"/>
      <c r="I94" s="88"/>
      <c r="J94" s="57"/>
      <c r="L94" s="11"/>
      <c r="M94" s="15"/>
      <c r="N94" s="11"/>
      <c r="O94" s="11"/>
      <c r="P94" s="11"/>
      <c r="Q94" s="121"/>
      <c r="R94" s="90"/>
      <c r="S94" s="28"/>
      <c r="T94" s="79"/>
      <c r="U94" s="80"/>
      <c r="V94" s="80"/>
      <c r="W94" s="80"/>
      <c r="X94" s="81"/>
      <c r="Y94" s="165"/>
      <c r="Z94" s="165"/>
      <c r="AA94" s="165"/>
      <c r="AB94" s="165"/>
      <c r="AC94" s="165"/>
      <c r="AD94" s="172"/>
      <c r="AE94" s="173"/>
      <c r="AF94" s="173"/>
      <c r="AG94" s="173"/>
      <c r="AH94" s="174"/>
      <c r="AI94" s="28"/>
      <c r="BX94"/>
    </row>
    <row r="95" spans="1:76" ht="16.5">
      <c r="A95" s="11">
        <f>I27</f>
        <v>66.20526072708387</v>
      </c>
      <c r="B95" s="4">
        <v>-0.3268494801752908</v>
      </c>
      <c r="C95" s="11">
        <v>103.8678988060364</v>
      </c>
      <c r="D95" s="4">
        <v>-1.4315649793308114</v>
      </c>
      <c r="E95" s="4">
        <f aca="true" t="shared" si="89" ref="E95:E102">SQRT(B95^2+D95^2)</f>
        <v>1.468403511551673</v>
      </c>
      <c r="F95" s="83">
        <f aca="true" t="shared" si="90" ref="F95:F102">-B95*$E$29*(1-$E$33)/$E$30/$E$34</f>
        <v>0.6162610986100227</v>
      </c>
      <c r="G95" s="86">
        <f aca="true" t="shared" si="91" ref="G95:G102">C95*$E$29*(1-$E$33)/$E$30/$E$34</f>
        <v>195.83860250961376</v>
      </c>
      <c r="H95" s="88">
        <f aca="true" t="shared" si="92" ref="H95:H102">-D95*$E$29*(1-$E$33)/$E$30/$E$34</f>
        <v>2.6991562183941764</v>
      </c>
      <c r="I95" s="88">
        <f aca="true" t="shared" si="93" ref="I95:I102">E95*$E$29*(1-$E$33)/$E$30/$E$34</f>
        <v>2.7686137384900738</v>
      </c>
      <c r="J95" s="57">
        <f aca="true" t="shared" si="94" ref="J95:J102">E95*E$29/E$30</f>
        <v>2.7683078830768824</v>
      </c>
      <c r="K95" s="11">
        <f aca="true" t="shared" si="95" ref="K95:K102">L$33*E$14/120*F95^2/E$8*E$7*E$10*(E$10-1)*E$5/E$6</f>
        <v>22.470542301893822</v>
      </c>
      <c r="L95" s="11">
        <f aca="true" t="shared" si="96" ref="L95:L102">L$34*E$14/6*F95^2/E$9*E$7*E$5/E$6*(1+(G95*E$5/F95)^2/15)</f>
        <v>1169.681047836674</v>
      </c>
      <c r="M95" s="15">
        <f aca="true" t="shared" si="97" ref="M95:M102">L$35*E$14/8*H95^2/E$9*E$7*E$6/E$5</f>
        <v>104.22779687101112</v>
      </c>
      <c r="N95" s="11">
        <f aca="true" t="shared" si="98" ref="N95:N102">E$14*E$15*(E$12/E$11)^2*J95*(1-E$33)/E$34^2*(E$20/2/PI())^2/E$19*LN((E$18+E$19*J95)/(E$18+E$19*E$33*J95))</f>
        <v>5680.65081298089</v>
      </c>
      <c r="O95" s="11">
        <f aca="true" t="shared" si="99" ref="O95:O102">(Y95+Z95+AA95+AB95+AC95)/5</f>
        <v>7630.122415069769</v>
      </c>
      <c r="P95" s="11">
        <f aca="true" t="shared" si="100" ref="P95:P102">(AD95+AE95+AF95+AG95+AH95)/5</f>
        <v>634.3850303883036</v>
      </c>
      <c r="Q95" s="121">
        <f aca="true" t="shared" si="101" ref="Q95:Q102">SUM(K95:P95)</f>
        <v>15241.53764544854</v>
      </c>
      <c r="R95" s="90">
        <f>Q95*J$29*(A96-A95)</f>
        <v>0.09555822170885309</v>
      </c>
      <c r="S95" s="28"/>
      <c r="T95" s="79">
        <f aca="true" t="shared" si="102" ref="T95:T102">SQRT(($B95-$C95*0.8*$E$5)^2+$D95^2)*$E$29/$E$30</f>
        <v>3.0304422911921893</v>
      </c>
      <c r="U95" s="80">
        <f aca="true" t="shared" si="103" ref="U95:U102">SQRT(($B95-$C95*0.4*$E$5)^2+$D95^2)*$E$29/$E$30</f>
        <v>2.8772118312765333</v>
      </c>
      <c r="V95" s="80">
        <f aca="true" t="shared" si="104" ref="V95:V102">SQRT(($B95)^2+$D95^2)*$E$29/$E$30</f>
        <v>2.7683078830768824</v>
      </c>
      <c r="W95" s="80">
        <f aca="true" t="shared" si="105" ref="W95:W102">SQRT(($B95+$C95*0.4*$E$5)^2+$D95^2)*$E$29/$E$30</f>
        <v>2.7090814533066383</v>
      </c>
      <c r="X95" s="81">
        <f aca="true" t="shared" si="106" ref="X95:X102">SQRT(($B95+$C95*0.8*$E$5)^2+$D95^2)*$E$29/$E$30</f>
        <v>2.702800265922522</v>
      </c>
      <c r="Y95" s="165">
        <f aca="true" t="shared" si="107" ref="Y95:AC102">$L$36*$E$14*$E$15*$E$17/$E$34*2/3*$E$21/PI()*($E$22*$E$23*LN((T95+$E$23)/($E$33*T95+$E$23))+$E$24*T95*(1-$E$33)+$E$25*T95^2/2*(1-$E$33^2))</f>
        <v>7913.778088586669</v>
      </c>
      <c r="Z95" s="165">
        <f t="shared" si="107"/>
        <v>7713.222982365011</v>
      </c>
      <c r="AA95" s="165">
        <f t="shared" si="107"/>
        <v>7565.564908297601</v>
      </c>
      <c r="AB95" s="165">
        <f t="shared" si="107"/>
        <v>7483.41787407099</v>
      </c>
      <c r="AC95" s="165">
        <f t="shared" si="107"/>
        <v>7474.628222028571</v>
      </c>
      <c r="AD95" s="172">
        <f aca="true" t="shared" si="108" ref="AD95:AH102">1/9/PI()*$E$21/$E$34*$E$28^2*T95*(3*T95+4*$E$27)/($E$26*$E$27*$E$14*$E$15*$E$17*16*$E$5^2*$E$6^2)</f>
        <v>722.8782392597177</v>
      </c>
      <c r="AE95" s="173">
        <f t="shared" si="108"/>
        <v>657.8813039129525</v>
      </c>
      <c r="AF95" s="173">
        <f t="shared" si="108"/>
        <v>613.5285774361816</v>
      </c>
      <c r="AG95" s="173">
        <f t="shared" si="108"/>
        <v>590.050225802845</v>
      </c>
      <c r="AH95" s="174">
        <f t="shared" si="108"/>
        <v>587.5868055298212</v>
      </c>
      <c r="AI95" s="28"/>
      <c r="BX95"/>
    </row>
    <row r="96" spans="1:76" ht="16.5">
      <c r="A96" s="18">
        <v>67</v>
      </c>
      <c r="B96" s="4">
        <v>-0.3163960523853646</v>
      </c>
      <c r="C96" s="11">
        <v>116.97068031077002</v>
      </c>
      <c r="D96" s="4">
        <v>-1.5031113978909254</v>
      </c>
      <c r="E96" s="4">
        <f t="shared" si="89"/>
        <v>1.536050238903225</v>
      </c>
      <c r="F96" s="83">
        <f t="shared" si="90"/>
        <v>0.5965515953530325</v>
      </c>
      <c r="G96" s="86">
        <f t="shared" si="91"/>
        <v>220.54335198825362</v>
      </c>
      <c r="H96" s="88">
        <f t="shared" si="92"/>
        <v>2.8340540144066466</v>
      </c>
      <c r="I96" s="88">
        <f t="shared" si="93"/>
        <v>2.8961588289478666</v>
      </c>
      <c r="J96" s="57">
        <f t="shared" si="94"/>
        <v>2.895838883322017</v>
      </c>
      <c r="K96" s="11">
        <f t="shared" si="95"/>
        <v>21.056203491726436</v>
      </c>
      <c r="L96" s="11">
        <f t="shared" si="96"/>
        <v>1149.297339175815</v>
      </c>
      <c r="M96" s="15">
        <f t="shared" si="97"/>
        <v>114.90627940859433</v>
      </c>
      <c r="N96" s="11">
        <f t="shared" si="98"/>
        <v>6105.758704980331</v>
      </c>
      <c r="O96" s="11">
        <f t="shared" si="99"/>
        <v>7814.212166332973</v>
      </c>
      <c r="P96" s="11">
        <f t="shared" si="100"/>
        <v>691.9655489966356</v>
      </c>
      <c r="Q96" s="121">
        <f t="shared" si="101"/>
        <v>15897.196242386075</v>
      </c>
      <c r="R96" s="90">
        <f aca="true" t="shared" si="109" ref="R96:R101">Q96*J$29</f>
        <v>0.12541085732889862</v>
      </c>
      <c r="S96" s="28"/>
      <c r="T96" s="79">
        <f t="shared" si="102"/>
        <v>3.185337093697317</v>
      </c>
      <c r="U96" s="80">
        <f t="shared" si="103"/>
        <v>3.013631547605263</v>
      </c>
      <c r="V96" s="80">
        <f t="shared" si="104"/>
        <v>2.895838883322017</v>
      </c>
      <c r="W96" s="80">
        <f t="shared" si="105"/>
        <v>2.838678495497176</v>
      </c>
      <c r="X96" s="81">
        <f t="shared" si="106"/>
        <v>2.8458062816426746</v>
      </c>
      <c r="Y96" s="165">
        <f t="shared" si="107"/>
        <v>8108.27787959327</v>
      </c>
      <c r="Z96" s="165">
        <f t="shared" si="107"/>
        <v>7892.177107470331</v>
      </c>
      <c r="AA96" s="165">
        <f t="shared" si="107"/>
        <v>7738.046969182278</v>
      </c>
      <c r="AB96" s="165">
        <f t="shared" si="107"/>
        <v>7661.472849734317</v>
      </c>
      <c r="AC96" s="165">
        <f t="shared" si="107"/>
        <v>7671.086025684673</v>
      </c>
      <c r="AD96" s="172">
        <f t="shared" si="108"/>
        <v>791.6605155722506</v>
      </c>
      <c r="AE96" s="173">
        <f t="shared" si="108"/>
        <v>715.5995320006109</v>
      </c>
      <c r="AF96" s="173">
        <f t="shared" si="108"/>
        <v>665.620713290745</v>
      </c>
      <c r="AG96" s="173">
        <f t="shared" si="108"/>
        <v>642.0130846846835</v>
      </c>
      <c r="AH96" s="174">
        <f t="shared" si="108"/>
        <v>644.9338994348884</v>
      </c>
      <c r="AI96" s="28"/>
      <c r="BX96"/>
    </row>
    <row r="97" spans="1:76" ht="16.5">
      <c r="A97" s="18">
        <v>68</v>
      </c>
      <c r="B97" s="4">
        <v>-0.3060447855019479</v>
      </c>
      <c r="C97" s="11">
        <v>124.38540401609183</v>
      </c>
      <c r="D97" s="4">
        <v>-1.6262178333673354</v>
      </c>
      <c r="E97" s="4">
        <f t="shared" si="89"/>
        <v>1.6547651955171416</v>
      </c>
      <c r="F97" s="83">
        <f t="shared" si="90"/>
        <v>0.5770347122355841</v>
      </c>
      <c r="G97" s="86">
        <f t="shared" si="91"/>
        <v>234.52350509750988</v>
      </c>
      <c r="H97" s="88">
        <f t="shared" si="92"/>
        <v>3.066166077525025</v>
      </c>
      <c r="I97" s="88">
        <f t="shared" si="93"/>
        <v>3.119990941347427</v>
      </c>
      <c r="J97" s="57">
        <f t="shared" si="94"/>
        <v>3.1196462684502104</v>
      </c>
      <c r="K97" s="11">
        <f t="shared" si="95"/>
        <v>19.70098430619291</v>
      </c>
      <c r="L97" s="11">
        <f t="shared" si="96"/>
        <v>1115.1165276888519</v>
      </c>
      <c r="M97" s="15">
        <f t="shared" si="97"/>
        <v>134.49894112868301</v>
      </c>
      <c r="N97" s="11">
        <f t="shared" si="98"/>
        <v>6874.250885377486</v>
      </c>
      <c r="O97" s="11">
        <f t="shared" si="99"/>
        <v>8102.9575329048</v>
      </c>
      <c r="P97" s="11">
        <f t="shared" si="100"/>
        <v>791.7155190098701</v>
      </c>
      <c r="Q97" s="121">
        <f t="shared" si="101"/>
        <v>17038.240390415885</v>
      </c>
      <c r="R97" s="90">
        <f t="shared" si="109"/>
        <v>0.13441240217194467</v>
      </c>
      <c r="S97" s="28"/>
      <c r="T97" s="79">
        <f t="shared" si="102"/>
        <v>3.408564448882613</v>
      </c>
      <c r="U97" s="80">
        <f t="shared" si="103"/>
        <v>3.235276345538981</v>
      </c>
      <c r="V97" s="80">
        <f t="shared" si="104"/>
        <v>3.1196462684502104</v>
      </c>
      <c r="W97" s="80">
        <f t="shared" si="105"/>
        <v>3.068199965279351</v>
      </c>
      <c r="X97" s="81">
        <f t="shared" si="106"/>
        <v>3.0841510326277355</v>
      </c>
      <c r="Y97" s="165">
        <f t="shared" si="107"/>
        <v>8374.65223628073</v>
      </c>
      <c r="Z97" s="165">
        <f t="shared" si="107"/>
        <v>8169.274949254031</v>
      </c>
      <c r="AA97" s="165">
        <f t="shared" si="107"/>
        <v>8026.780182901801</v>
      </c>
      <c r="AB97" s="165">
        <f t="shared" si="107"/>
        <v>7961.940177292338</v>
      </c>
      <c r="AC97" s="165">
        <f t="shared" si="107"/>
        <v>7982.140118795101</v>
      </c>
      <c r="AD97" s="172">
        <f t="shared" si="108"/>
        <v>896.23239340392</v>
      </c>
      <c r="AE97" s="173">
        <f t="shared" si="108"/>
        <v>814.4964355542043</v>
      </c>
      <c r="AF97" s="173">
        <f t="shared" si="108"/>
        <v>762.1118972101514</v>
      </c>
      <c r="AG97" s="173">
        <f t="shared" si="108"/>
        <v>739.3594741629901</v>
      </c>
      <c r="AH97" s="174">
        <f t="shared" si="108"/>
        <v>746.377394718085</v>
      </c>
      <c r="AI97" s="28"/>
      <c r="BX97"/>
    </row>
    <row r="98" spans="1:76" ht="16.5">
      <c r="A98" s="18">
        <v>69</v>
      </c>
      <c r="B98" s="4">
        <v>-0.29536781640040477</v>
      </c>
      <c r="C98" s="11">
        <v>126.9506343646594</v>
      </c>
      <c r="D98" s="4">
        <v>-1.7448986966969309</v>
      </c>
      <c r="E98" s="4">
        <f t="shared" si="89"/>
        <v>1.7697213364537907</v>
      </c>
      <c r="F98" s="83">
        <f t="shared" si="90"/>
        <v>0.556903731134395</v>
      </c>
      <c r="G98" s="86">
        <f t="shared" si="91"/>
        <v>239.36014021147187</v>
      </c>
      <c r="H98" s="88">
        <f t="shared" si="92"/>
        <v>3.2899339084552075</v>
      </c>
      <c r="I98" s="88">
        <f t="shared" si="93"/>
        <v>3.336735963146435</v>
      </c>
      <c r="J98" s="57">
        <f t="shared" si="94"/>
        <v>3.336367345905781</v>
      </c>
      <c r="K98" s="11">
        <f t="shared" si="95"/>
        <v>18.350347854613453</v>
      </c>
      <c r="L98" s="11">
        <f t="shared" si="96"/>
        <v>1064.0813137452672</v>
      </c>
      <c r="M98" s="15">
        <f t="shared" si="97"/>
        <v>154.846667496148</v>
      </c>
      <c r="N98" s="11">
        <f t="shared" si="98"/>
        <v>7644.269011524947</v>
      </c>
      <c r="O98" s="11">
        <f t="shared" si="99"/>
        <v>8361.006617017101</v>
      </c>
      <c r="P98" s="11">
        <f t="shared" si="100"/>
        <v>892.3798516495214</v>
      </c>
      <c r="Q98" s="121">
        <f t="shared" si="101"/>
        <v>18134.9338092876</v>
      </c>
      <c r="R98" s="90">
        <f t="shared" si="109"/>
        <v>0.1430640700378135</v>
      </c>
      <c r="S98" s="28"/>
      <c r="T98" s="79">
        <f t="shared" si="102"/>
        <v>3.610595091238485</v>
      </c>
      <c r="U98" s="80">
        <f t="shared" si="103"/>
        <v>3.444844713211817</v>
      </c>
      <c r="V98" s="80">
        <f t="shared" si="104"/>
        <v>3.336367345905781</v>
      </c>
      <c r="W98" s="80">
        <f t="shared" si="105"/>
        <v>3.2908316302911023</v>
      </c>
      <c r="X98" s="81">
        <f t="shared" si="106"/>
        <v>3.3108355976154145</v>
      </c>
      <c r="Y98" s="165">
        <f t="shared" si="107"/>
        <v>8602.150560392927</v>
      </c>
      <c r="Z98" s="165">
        <f t="shared" si="107"/>
        <v>8416.43955450113</v>
      </c>
      <c r="AA98" s="165">
        <f t="shared" si="107"/>
        <v>8290.257574603456</v>
      </c>
      <c r="AB98" s="165">
        <f t="shared" si="107"/>
        <v>8236.171492181444</v>
      </c>
      <c r="AC98" s="165">
        <f t="shared" si="107"/>
        <v>8260.013903406552</v>
      </c>
      <c r="AD98" s="172">
        <f t="shared" si="108"/>
        <v>996.4178514136486</v>
      </c>
      <c r="AE98" s="173">
        <f t="shared" si="108"/>
        <v>913.8355091969967</v>
      </c>
      <c r="AF98" s="173">
        <f t="shared" si="108"/>
        <v>861.7078028271426</v>
      </c>
      <c r="AG98" s="173">
        <f t="shared" si="108"/>
        <v>840.2785608651385</v>
      </c>
      <c r="AH98" s="174">
        <f t="shared" si="108"/>
        <v>849.6595339446804</v>
      </c>
      <c r="AI98" s="28"/>
      <c r="BX98"/>
    </row>
    <row r="99" spans="1:76" ht="16.5">
      <c r="A99" s="18">
        <v>70</v>
      </c>
      <c r="B99" s="4">
        <v>-0.2833675986125561</v>
      </c>
      <c r="C99" s="11">
        <v>125.64999275201042</v>
      </c>
      <c r="D99" s="4">
        <v>-1.8630264814476016</v>
      </c>
      <c r="E99" s="4">
        <f t="shared" si="89"/>
        <v>1.8844534662650807</v>
      </c>
      <c r="F99" s="83">
        <f t="shared" si="90"/>
        <v>0.5342778196795779</v>
      </c>
      <c r="G99" s="86">
        <f t="shared" si="91"/>
        <v>236.90783455481576</v>
      </c>
      <c r="H99" s="88">
        <f t="shared" si="92"/>
        <v>3.512658932731749</v>
      </c>
      <c r="I99" s="88">
        <f t="shared" si="93"/>
        <v>3.553058621286977</v>
      </c>
      <c r="J99" s="57">
        <f t="shared" si="94"/>
        <v>3.5526661063624143</v>
      </c>
      <c r="K99" s="11">
        <f t="shared" si="95"/>
        <v>16.88956001851972</v>
      </c>
      <c r="L99" s="11">
        <f t="shared" si="96"/>
        <v>993.5969617402442</v>
      </c>
      <c r="M99" s="15">
        <f t="shared" si="97"/>
        <v>176.52226155214052</v>
      </c>
      <c r="N99" s="11">
        <f t="shared" si="98"/>
        <v>8436.711047679775</v>
      </c>
      <c r="O99" s="11">
        <f t="shared" si="99"/>
        <v>8600.217818096618</v>
      </c>
      <c r="P99" s="11">
        <f t="shared" si="100"/>
        <v>997.0566738451975</v>
      </c>
      <c r="Q99" s="121">
        <f t="shared" si="101"/>
        <v>19220.994322932493</v>
      </c>
      <c r="R99" s="90">
        <f t="shared" si="109"/>
        <v>0.1516318563348786</v>
      </c>
      <c r="S99" s="28"/>
      <c r="T99" s="79">
        <f t="shared" si="102"/>
        <v>3.80216453819567</v>
      </c>
      <c r="U99" s="80">
        <f t="shared" si="103"/>
        <v>3.6505411786021598</v>
      </c>
      <c r="V99" s="80">
        <f t="shared" si="104"/>
        <v>3.5526661063624143</v>
      </c>
      <c r="W99" s="80">
        <f t="shared" si="105"/>
        <v>3.5130345679186528</v>
      </c>
      <c r="X99" s="81">
        <f t="shared" si="106"/>
        <v>3.533606816406629</v>
      </c>
      <c r="Y99" s="165">
        <f t="shared" si="107"/>
        <v>8806.421645686876</v>
      </c>
      <c r="Z99" s="165">
        <f t="shared" si="107"/>
        <v>8645.651197187366</v>
      </c>
      <c r="AA99" s="165">
        <f t="shared" si="107"/>
        <v>8538.206051700321</v>
      </c>
      <c r="AB99" s="165">
        <f t="shared" si="107"/>
        <v>8493.86700185759</v>
      </c>
      <c r="AC99" s="165">
        <f t="shared" si="107"/>
        <v>8516.943194050937</v>
      </c>
      <c r="AD99" s="172">
        <f t="shared" si="108"/>
        <v>1096.2806315225282</v>
      </c>
      <c r="AE99" s="173">
        <f t="shared" si="108"/>
        <v>1016.8504675986616</v>
      </c>
      <c r="AF99" s="173">
        <f t="shared" si="108"/>
        <v>967.1527143457614</v>
      </c>
      <c r="AG99" s="173">
        <f t="shared" si="108"/>
        <v>947.380728421489</v>
      </c>
      <c r="AH99" s="174">
        <f t="shared" si="108"/>
        <v>957.6188273375471</v>
      </c>
      <c r="AI99" s="28"/>
      <c r="BX99"/>
    </row>
    <row r="100" spans="1:76" ht="16.5">
      <c r="A100" s="18">
        <v>71</v>
      </c>
      <c r="B100" s="4">
        <v>-0.2699889150048618</v>
      </c>
      <c r="C100" s="11">
        <v>120.61920848467275</v>
      </c>
      <c r="D100" s="4">
        <v>-1.9834856507491039</v>
      </c>
      <c r="E100" s="4">
        <f t="shared" si="89"/>
        <v>2.0017765462091663</v>
      </c>
      <c r="F100" s="83">
        <f t="shared" si="90"/>
        <v>0.5090528682627607</v>
      </c>
      <c r="G100" s="86">
        <f t="shared" si="91"/>
        <v>227.42250008894226</v>
      </c>
      <c r="H100" s="88">
        <f t="shared" si="92"/>
        <v>3.7397796855981214</v>
      </c>
      <c r="I100" s="88">
        <f t="shared" si="93"/>
        <v>3.7742664081247534</v>
      </c>
      <c r="J100" s="57">
        <f t="shared" si="94"/>
        <v>3.7738494558443745</v>
      </c>
      <c r="K100" s="11">
        <f t="shared" si="95"/>
        <v>15.332388806198797</v>
      </c>
      <c r="L100" s="11">
        <f t="shared" si="96"/>
        <v>905.2188599646714</v>
      </c>
      <c r="M100" s="15">
        <f t="shared" si="97"/>
        <v>200.0873132659628</v>
      </c>
      <c r="N100" s="11">
        <f t="shared" si="98"/>
        <v>9270.435287884833</v>
      </c>
      <c r="O100" s="11">
        <f t="shared" si="99"/>
        <v>8828.03849249551</v>
      </c>
      <c r="P100" s="11">
        <f t="shared" si="100"/>
        <v>1108.6593397433387</v>
      </c>
      <c r="Q100" s="121">
        <f t="shared" si="101"/>
        <v>20327.771682160514</v>
      </c>
      <c r="R100" s="90">
        <f t="shared" si="109"/>
        <v>0.1603630750590281</v>
      </c>
      <c r="S100" s="28"/>
      <c r="T100" s="79">
        <f t="shared" si="102"/>
        <v>3.990761084590373</v>
      </c>
      <c r="U100" s="80">
        <f t="shared" si="103"/>
        <v>3.8585278396515528</v>
      </c>
      <c r="V100" s="80">
        <f t="shared" si="104"/>
        <v>3.7738494558443745</v>
      </c>
      <c r="W100" s="80">
        <f t="shared" si="105"/>
        <v>3.739957474666437</v>
      </c>
      <c r="X100" s="81">
        <f t="shared" si="106"/>
        <v>3.758226134784265</v>
      </c>
      <c r="Y100" s="165">
        <f t="shared" si="107"/>
        <v>8996.998615758934</v>
      </c>
      <c r="Z100" s="165">
        <f t="shared" si="107"/>
        <v>8864.456183395818</v>
      </c>
      <c r="AA100" s="165">
        <f t="shared" si="107"/>
        <v>8776.915765657188</v>
      </c>
      <c r="AB100" s="165">
        <f t="shared" si="107"/>
        <v>8741.287603446302</v>
      </c>
      <c r="AC100" s="165">
        <f t="shared" si="107"/>
        <v>8760.534294219317</v>
      </c>
      <c r="AD100" s="172">
        <f t="shared" si="108"/>
        <v>1199.2196568138322</v>
      </c>
      <c r="AE100" s="173">
        <f t="shared" si="108"/>
        <v>1126.5637501202998</v>
      </c>
      <c r="AF100" s="173">
        <f t="shared" si="108"/>
        <v>1081.2220804202434</v>
      </c>
      <c r="AG100" s="173">
        <f t="shared" si="108"/>
        <v>1063.3336478933204</v>
      </c>
      <c r="AH100" s="174">
        <f t="shared" si="108"/>
        <v>1072.9575634689984</v>
      </c>
      <c r="AI100" s="28"/>
      <c r="BX100"/>
    </row>
    <row r="101" spans="1:77" ht="16.5">
      <c r="A101" s="18">
        <v>72</v>
      </c>
      <c r="B101" s="4">
        <v>-0.25583793143957845</v>
      </c>
      <c r="C101" s="11">
        <v>111.28668841819632</v>
      </c>
      <c r="D101" s="4">
        <v>-2.108555433516901</v>
      </c>
      <c r="E101" s="4">
        <f t="shared" si="89"/>
        <v>2.1240195534356383</v>
      </c>
      <c r="F101" s="83">
        <f t="shared" si="90"/>
        <v>0.4823717774019862</v>
      </c>
      <c r="G101" s="86">
        <f t="shared" si="91"/>
        <v>209.82642171708002</v>
      </c>
      <c r="H101" s="88">
        <f t="shared" si="92"/>
        <v>3.975593558363235</v>
      </c>
      <c r="I101" s="88">
        <f t="shared" si="93"/>
        <v>4.004750513194699</v>
      </c>
      <c r="J101" s="57">
        <f t="shared" si="94"/>
        <v>4.004308098781336</v>
      </c>
      <c r="K101" s="11">
        <f t="shared" si="95"/>
        <v>13.767269896172275</v>
      </c>
      <c r="L101" s="11">
        <f t="shared" si="96"/>
        <v>802.6948678243476</v>
      </c>
      <c r="M101" s="15">
        <f t="shared" si="97"/>
        <v>226.11609296139835</v>
      </c>
      <c r="N101" s="11">
        <f t="shared" si="98"/>
        <v>10162.96389581425</v>
      </c>
      <c r="O101" s="11">
        <f t="shared" si="99"/>
        <v>9049.097410185088</v>
      </c>
      <c r="P101" s="11">
        <f t="shared" si="100"/>
        <v>1230.050709689836</v>
      </c>
      <c r="Q101" s="121">
        <f t="shared" si="101"/>
        <v>21484.690246371094</v>
      </c>
      <c r="R101" s="90">
        <f t="shared" si="109"/>
        <v>0.16948985105054032</v>
      </c>
      <c r="S101" s="28"/>
      <c r="T101" s="79">
        <f t="shared" si="102"/>
        <v>4.181975912175531</v>
      </c>
      <c r="U101" s="80">
        <f t="shared" si="103"/>
        <v>4.0736976744487245</v>
      </c>
      <c r="V101" s="80">
        <f t="shared" si="104"/>
        <v>4.004308098781336</v>
      </c>
      <c r="W101" s="80">
        <f t="shared" si="105"/>
        <v>3.9758438540122403</v>
      </c>
      <c r="X101" s="81">
        <f t="shared" si="106"/>
        <v>3.9891810873125686</v>
      </c>
      <c r="Y101" s="165">
        <f t="shared" si="107"/>
        <v>9179.8707221052</v>
      </c>
      <c r="Z101" s="165">
        <f t="shared" si="107"/>
        <v>9077.579858035473</v>
      </c>
      <c r="AA101" s="165">
        <f t="shared" si="107"/>
        <v>9010.294230194848</v>
      </c>
      <c r="AB101" s="165">
        <f t="shared" si="107"/>
        <v>8982.297704891254</v>
      </c>
      <c r="AC101" s="165">
        <f t="shared" si="107"/>
        <v>8995.44453569867</v>
      </c>
      <c r="AD101" s="172">
        <f t="shared" si="108"/>
        <v>1308.2736108313375</v>
      </c>
      <c r="AE101" s="173">
        <f t="shared" si="108"/>
        <v>1245.9407810736975</v>
      </c>
      <c r="AF101" s="173">
        <f t="shared" si="108"/>
        <v>1206.7905201100386</v>
      </c>
      <c r="AG101" s="173">
        <f t="shared" si="108"/>
        <v>1190.9104323652812</v>
      </c>
      <c r="AH101" s="174">
        <f t="shared" si="108"/>
        <v>1198.3382040688252</v>
      </c>
      <c r="AI101" s="28"/>
      <c r="BX101"/>
      <c r="BY101"/>
    </row>
    <row r="102" spans="1:77" ht="16.5">
      <c r="A102" s="53">
        <f>J27</f>
        <v>73.17120452647318</v>
      </c>
      <c r="B102" s="68">
        <v>-0.24045827362357386</v>
      </c>
      <c r="C102" s="53">
        <v>96.65180988093557</v>
      </c>
      <c r="D102" s="68">
        <v>-2.240046943380341</v>
      </c>
      <c r="E102" s="68">
        <f t="shared" si="89"/>
        <v>2.252915997080592</v>
      </c>
      <c r="F102" s="84">
        <f t="shared" si="90"/>
        <v>0.4533740723517772</v>
      </c>
      <c r="G102" s="53">
        <f t="shared" si="91"/>
        <v>182.23296701566923</v>
      </c>
      <c r="H102" s="68">
        <f t="shared" si="92"/>
        <v>4.223515330436654</v>
      </c>
      <c r="I102" s="68">
        <f t="shared" si="93"/>
        <v>4.247779395862535</v>
      </c>
      <c r="J102" s="58">
        <f t="shared" si="94"/>
        <v>4.24731013346446</v>
      </c>
      <c r="K102" s="89">
        <f t="shared" si="95"/>
        <v>12.161787367374133</v>
      </c>
      <c r="L102" s="53">
        <f t="shared" si="96"/>
        <v>685.2617234996903</v>
      </c>
      <c r="M102" s="67">
        <f t="shared" si="97"/>
        <v>255.19705957493954</v>
      </c>
      <c r="N102" s="53">
        <f t="shared" si="98"/>
        <v>11129.063790254184</v>
      </c>
      <c r="O102" s="53">
        <f t="shared" si="99"/>
        <v>9265.964307289436</v>
      </c>
      <c r="P102" s="124">
        <f t="shared" si="100"/>
        <v>1364.0929114723403</v>
      </c>
      <c r="Q102" s="122">
        <f t="shared" si="101"/>
        <v>22711.741579457965</v>
      </c>
      <c r="R102" s="91">
        <f>Q102*J$29*(A102-A101)</f>
        <v>0.2098445921326204</v>
      </c>
      <c r="S102" s="52"/>
      <c r="T102" s="95">
        <f t="shared" si="102"/>
        <v>4.380129961294766</v>
      </c>
      <c r="U102" s="96">
        <f t="shared" si="103"/>
        <v>4.299634817814037</v>
      </c>
      <c r="V102" s="96">
        <f t="shared" si="104"/>
        <v>4.24731013346446</v>
      </c>
      <c r="W102" s="96">
        <f t="shared" si="105"/>
        <v>4.224202870086319</v>
      </c>
      <c r="X102" s="97">
        <f t="shared" si="106"/>
        <v>4.230791784052434</v>
      </c>
      <c r="Y102" s="166">
        <f t="shared" si="107"/>
        <v>9358.672470355135</v>
      </c>
      <c r="Z102" s="166">
        <f t="shared" si="107"/>
        <v>9287.33563150606</v>
      </c>
      <c r="AA102" s="166">
        <f t="shared" si="107"/>
        <v>9240.015076679369</v>
      </c>
      <c r="AB102" s="166">
        <f t="shared" si="107"/>
        <v>9218.878134022683</v>
      </c>
      <c r="AC102" s="166">
        <f t="shared" si="107"/>
        <v>9224.920223883939</v>
      </c>
      <c r="AD102" s="167">
        <f t="shared" si="108"/>
        <v>1426.2632238510018</v>
      </c>
      <c r="AE102" s="166">
        <f t="shared" si="108"/>
        <v>1377.7218138751293</v>
      </c>
      <c r="AF102" s="166">
        <f t="shared" si="108"/>
        <v>1346.616584950917</v>
      </c>
      <c r="AG102" s="166">
        <f t="shared" si="108"/>
        <v>1332.9925706587785</v>
      </c>
      <c r="AH102" s="168">
        <f t="shared" si="108"/>
        <v>1336.8703640258757</v>
      </c>
      <c r="AI102" s="28"/>
      <c r="BX102"/>
      <c r="BY102"/>
    </row>
    <row r="103" spans="2:34" ht="8.25" customHeight="1">
      <c r="B103" s="15"/>
      <c r="D103" s="2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R103" s="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28"/>
      <c r="AE103" s="28"/>
      <c r="AF103" s="28"/>
      <c r="AG103" s="28"/>
      <c r="AH103" s="28"/>
    </row>
    <row r="104" spans="1:76" ht="16.5">
      <c r="A104" s="5"/>
      <c r="B104" s="15"/>
      <c r="D104" s="2"/>
      <c r="E104" s="33"/>
      <c r="F104" s="33"/>
      <c r="G104" s="33"/>
      <c r="H104" s="33"/>
      <c r="I104" s="33"/>
      <c r="J104" s="102" t="s">
        <v>155</v>
      </c>
      <c r="K104" s="18">
        <f>SUM(K40:K102)</f>
        <v>5643.524123331257</v>
      </c>
      <c r="L104" s="18">
        <f aca="true" t="shared" si="110" ref="L104:R104">SUM(L40:L102)</f>
        <v>292617.5771637036</v>
      </c>
      <c r="M104" s="18">
        <f t="shared" si="110"/>
        <v>4159.308097564799</v>
      </c>
      <c r="N104" s="18">
        <f t="shared" si="110"/>
        <v>285661.9618743459</v>
      </c>
      <c r="O104" s="18">
        <f t="shared" si="110"/>
        <v>422913.93483639363</v>
      </c>
      <c r="P104" s="18">
        <f t="shared" si="110"/>
        <v>36117.82006008267</v>
      </c>
      <c r="Q104" s="18">
        <f t="shared" si="110"/>
        <v>1047114.1261554221</v>
      </c>
      <c r="R104" s="4">
        <f t="shared" si="110"/>
        <v>8.257517245756599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 t="s">
        <v>145</v>
      </c>
      <c r="AC104" s="38">
        <f>SUM(AD40:AD102)/59</f>
        <v>985.747306906089</v>
      </c>
      <c r="AD104" s="38">
        <f>SUM(AE40:AE102)/59</f>
        <v>716.7427911239599</v>
      </c>
      <c r="AE104" s="38">
        <f>SUM(AF40:AF102)/59</f>
        <v>528.138167690165</v>
      </c>
      <c r="AF104" s="38">
        <f>SUM(AG40:AG102)/59</f>
        <v>422.3693721402969</v>
      </c>
      <c r="AG104" s="38">
        <f>SUM(AH40:AH102)/59</f>
        <v>407.83457062107055</v>
      </c>
      <c r="AH104" s="28"/>
      <c r="BX104"/>
    </row>
    <row r="105" spans="1:34" ht="16.5">
      <c r="A105" s="5"/>
      <c r="B105" s="15"/>
      <c r="D105" s="2"/>
      <c r="E105" s="33"/>
      <c r="F105" s="33"/>
      <c r="G105" s="33"/>
      <c r="H105" s="33"/>
      <c r="I105" s="33"/>
      <c r="J105" s="10" t="s">
        <v>156</v>
      </c>
      <c r="K105" s="29">
        <f>K104/$Q$104</f>
        <v>0.005389597926686355</v>
      </c>
      <c r="L105" s="29">
        <f aca="true" t="shared" si="111" ref="L105:Q105">L104/$Q$104</f>
        <v>0.2794514655609476</v>
      </c>
      <c r="M105" s="29">
        <f t="shared" si="111"/>
        <v>0.003972163103974243</v>
      </c>
      <c r="N105" s="29">
        <f t="shared" si="111"/>
        <v>0.2728088130404473</v>
      </c>
      <c r="O105" s="29">
        <f t="shared" si="111"/>
        <v>0.40388523492578776</v>
      </c>
      <c r="P105" s="29">
        <f t="shared" si="111"/>
        <v>0.03449272544215656</v>
      </c>
      <c r="Q105" s="11">
        <f t="shared" si="111"/>
        <v>1</v>
      </c>
      <c r="R105" s="1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28"/>
      <c r="AE105" s="28"/>
      <c r="AF105" s="28"/>
      <c r="AG105" s="28"/>
      <c r="AH105" s="28"/>
    </row>
    <row r="106" spans="2:29" ht="5.25" customHeight="1">
      <c r="B106" s="15"/>
      <c r="E106" s="34"/>
      <c r="F106" s="34"/>
      <c r="G106" s="34"/>
      <c r="H106" s="34"/>
      <c r="I106" s="34"/>
      <c r="J106" s="33"/>
      <c r="L106" s="33"/>
      <c r="M106" s="33"/>
      <c r="N106" s="33"/>
      <c r="O106" s="33"/>
      <c r="P106" s="33"/>
      <c r="Q106" s="33"/>
      <c r="R106" s="18"/>
      <c r="AC106" s="30"/>
    </row>
    <row r="107" spans="2:29" ht="16.5">
      <c r="B107" s="15"/>
      <c r="E107" s="34"/>
      <c r="F107" s="34"/>
      <c r="G107" s="34"/>
      <c r="H107" s="34"/>
      <c r="I107" s="34"/>
      <c r="J107" s="34"/>
      <c r="L107" s="33"/>
      <c r="M107" s="33"/>
      <c r="N107" s="33"/>
      <c r="O107" s="33" t="s">
        <v>57</v>
      </c>
      <c r="P107" s="33"/>
      <c r="Q107" s="18">
        <f>MAX(Q40:Q102)</f>
        <v>22890.24952948073</v>
      </c>
      <c r="R107" s="18"/>
      <c r="AC107" s="30"/>
    </row>
    <row r="108" spans="2:29" ht="6" customHeight="1">
      <c r="B108" s="15"/>
      <c r="E108" s="34"/>
      <c r="F108" s="34"/>
      <c r="G108" s="34"/>
      <c r="H108" s="34"/>
      <c r="I108" s="34"/>
      <c r="J108" s="33"/>
      <c r="L108" s="33"/>
      <c r="M108" s="33"/>
      <c r="N108" s="33"/>
      <c r="O108" s="33"/>
      <c r="P108" s="33"/>
      <c r="R108"/>
      <c r="AC108" s="30"/>
    </row>
    <row r="109" spans="2:75" ht="16.5">
      <c r="B109" s="15"/>
      <c r="E109" s="34"/>
      <c r="F109" s="34"/>
      <c r="G109" s="34"/>
      <c r="H109" s="34"/>
      <c r="I109" s="34"/>
      <c r="J109" s="102" t="s">
        <v>158</v>
      </c>
      <c r="K109" s="4">
        <f aca="true" t="shared" si="112" ref="K109:P109">(SUM(K40:K55)+K56*($A56-$A55)+K58*($A59-$A58)+SUM(K59:K76)+K77*($A77-$A76)+K79*($A80-$A79)+SUM(K80:K92)+K93*($A93-$A92)+K95*($A96-$A95)+SUM(K96:K101)+K102*($A102-$A101))*$J$29</f>
        <v>0.04416755122961374</v>
      </c>
      <c r="L109" s="4">
        <f t="shared" si="112"/>
        <v>2.2906366672965697</v>
      </c>
      <c r="M109" s="4">
        <f t="shared" si="112"/>
        <v>0.033390439790571415</v>
      </c>
      <c r="N109" s="4">
        <f t="shared" si="112"/>
        <v>2.270770086182778</v>
      </c>
      <c r="O109" s="4">
        <f t="shared" si="112"/>
        <v>3.33152422133093</v>
      </c>
      <c r="P109" s="4">
        <f t="shared" si="112"/>
        <v>0.2870282799261339</v>
      </c>
      <c r="Q109" s="4">
        <f>SUM(K109:P109)</f>
        <v>8.257517245756596</v>
      </c>
      <c r="R109"/>
      <c r="AC109" s="30"/>
      <c r="BW109" s="2"/>
    </row>
    <row r="110" spans="2:75" ht="16.5">
      <c r="B110" s="15"/>
      <c r="E110" s="34"/>
      <c r="F110" s="34"/>
      <c r="G110" s="34"/>
      <c r="H110" s="34"/>
      <c r="I110" s="34"/>
      <c r="J110" s="33"/>
      <c r="L110" s="33"/>
      <c r="M110" s="33"/>
      <c r="N110" s="33"/>
      <c r="O110" s="33"/>
      <c r="P110" s="33"/>
      <c r="R110"/>
      <c r="AC110" s="30"/>
      <c r="BW110" s="2"/>
    </row>
    <row r="111" spans="2:75" ht="16.5">
      <c r="B111" s="15"/>
      <c r="E111" s="34"/>
      <c r="F111" s="34"/>
      <c r="G111" s="34"/>
      <c r="H111" s="34"/>
      <c r="I111" s="34"/>
      <c r="J111" s="33"/>
      <c r="L111" s="33"/>
      <c r="M111" s="33"/>
      <c r="N111" s="33"/>
      <c r="O111" s="33"/>
      <c r="P111" s="2"/>
      <c r="Q111" s="40"/>
      <c r="BW111" s="2"/>
    </row>
    <row r="112" spans="2:75" ht="16.5">
      <c r="B112" s="4"/>
      <c r="E112" s="34"/>
      <c r="F112" s="34"/>
      <c r="G112" s="34"/>
      <c r="H112" s="34"/>
      <c r="I112" s="34"/>
      <c r="J112" s="33"/>
      <c r="L112" s="33"/>
      <c r="M112" s="33"/>
      <c r="N112" s="33"/>
      <c r="O112" s="33"/>
      <c r="P112" s="2"/>
      <c r="Q112" s="40"/>
      <c r="BW112" s="2"/>
    </row>
    <row r="113" spans="2:75" ht="16.5">
      <c r="B113" s="4"/>
      <c r="E113" s="34"/>
      <c r="F113" s="34"/>
      <c r="G113" s="34"/>
      <c r="H113" s="34"/>
      <c r="I113" s="34"/>
      <c r="J113" s="33"/>
      <c r="L113" s="33"/>
      <c r="M113" s="33"/>
      <c r="N113" s="33"/>
      <c r="O113" s="33"/>
      <c r="P113" s="2"/>
      <c r="Q113" s="40"/>
      <c r="BW113" s="2"/>
    </row>
    <row r="114" spans="2:17" ht="16.5">
      <c r="B114" s="4"/>
      <c r="E114" s="34"/>
      <c r="F114" s="34"/>
      <c r="G114" s="34"/>
      <c r="H114" s="34"/>
      <c r="I114" s="34"/>
      <c r="J114" s="33"/>
      <c r="L114" s="33"/>
      <c r="M114" s="33"/>
      <c r="N114" s="33"/>
      <c r="O114" s="33"/>
      <c r="P114" s="2"/>
      <c r="Q114" s="40"/>
    </row>
    <row r="115" spans="2:17" ht="16.5">
      <c r="B115" s="4"/>
      <c r="E115" s="34"/>
      <c r="F115" s="34"/>
      <c r="G115" s="34"/>
      <c r="H115" s="34"/>
      <c r="I115" s="34"/>
      <c r="J115" s="33"/>
      <c r="L115" s="33"/>
      <c r="M115" s="33"/>
      <c r="N115" s="33"/>
      <c r="O115" s="33"/>
      <c r="P115" s="2"/>
      <c r="Q115" s="40"/>
    </row>
    <row r="116" spans="2:17" ht="16.5">
      <c r="B116" s="4"/>
      <c r="E116" s="34"/>
      <c r="F116" s="34"/>
      <c r="G116" s="34"/>
      <c r="H116" s="34"/>
      <c r="I116" s="34"/>
      <c r="J116" s="33"/>
      <c r="L116" s="33"/>
      <c r="M116" s="33"/>
      <c r="N116" s="33"/>
      <c r="O116" s="33"/>
      <c r="P116" s="2"/>
      <c r="Q116" s="40"/>
    </row>
    <row r="117" spans="2:15" ht="16.5">
      <c r="B117" s="4"/>
      <c r="E117" s="34"/>
      <c r="F117" s="34"/>
      <c r="G117" s="34"/>
      <c r="H117" s="34"/>
      <c r="I117" s="34"/>
      <c r="J117" s="33"/>
      <c r="L117" s="33"/>
      <c r="M117" s="33"/>
      <c r="N117" s="33"/>
      <c r="O117" s="33"/>
    </row>
    <row r="118" spans="2:15" ht="16.5">
      <c r="B118" s="4"/>
      <c r="E118" s="34"/>
      <c r="F118" s="34"/>
      <c r="G118" s="34"/>
      <c r="H118" s="34"/>
      <c r="I118" s="34"/>
      <c r="J118" s="33"/>
      <c r="L118" s="33"/>
      <c r="M118" s="33"/>
      <c r="N118" s="33"/>
      <c r="O118" s="33"/>
    </row>
    <row r="119" spans="2:15" ht="16.5">
      <c r="B119" s="4"/>
      <c r="E119" s="34"/>
      <c r="F119" s="34"/>
      <c r="G119" s="34"/>
      <c r="H119" s="34"/>
      <c r="I119" s="34"/>
      <c r="J119" s="33"/>
      <c r="L119" s="33"/>
      <c r="M119" s="33"/>
      <c r="N119" s="33"/>
      <c r="O119" s="33"/>
    </row>
    <row r="120" spans="2:15" ht="16.5">
      <c r="B120" s="4"/>
      <c r="E120" s="34"/>
      <c r="F120" s="34"/>
      <c r="G120" s="34"/>
      <c r="H120" s="34"/>
      <c r="I120" s="34"/>
      <c r="J120" s="33"/>
      <c r="L120" s="33"/>
      <c r="M120" s="33"/>
      <c r="N120" s="33"/>
      <c r="O120" s="33"/>
    </row>
    <row r="121" spans="2:15" ht="16.5">
      <c r="B121" s="4"/>
      <c r="E121" s="34"/>
      <c r="F121" s="34"/>
      <c r="G121" s="34"/>
      <c r="H121" s="34"/>
      <c r="I121" s="34"/>
      <c r="J121" s="33"/>
      <c r="L121" s="33"/>
      <c r="M121" s="33"/>
      <c r="N121" s="33"/>
      <c r="O121" s="33"/>
    </row>
    <row r="122" spans="2:15" ht="16.5">
      <c r="B122" s="4"/>
      <c r="E122" s="34"/>
      <c r="F122" s="34"/>
      <c r="G122" s="34"/>
      <c r="H122" s="34"/>
      <c r="I122" s="34"/>
      <c r="J122" s="33"/>
      <c r="L122" s="33"/>
      <c r="M122" s="33"/>
      <c r="N122" s="33"/>
      <c r="O122" s="33"/>
    </row>
    <row r="123" spans="2:15" ht="16.5">
      <c r="B123" s="4"/>
      <c r="E123" s="34"/>
      <c r="F123" s="34"/>
      <c r="G123" s="34"/>
      <c r="H123" s="34"/>
      <c r="I123" s="34"/>
      <c r="J123" s="33"/>
      <c r="L123" s="33"/>
      <c r="M123" s="33"/>
      <c r="N123" s="33"/>
      <c r="O123" s="33"/>
    </row>
    <row r="124" spans="2:15" ht="16.5">
      <c r="B124" s="4"/>
      <c r="E124" s="33"/>
      <c r="F124" s="34"/>
      <c r="G124" s="33"/>
      <c r="H124" s="33"/>
      <c r="I124" s="33"/>
      <c r="J124" s="33"/>
      <c r="L124" s="33"/>
      <c r="M124" s="33"/>
      <c r="N124" s="33"/>
      <c r="O124" s="33"/>
    </row>
    <row r="125" spans="2:15" ht="16.5">
      <c r="B125" s="4"/>
      <c r="E125" s="33"/>
      <c r="F125" s="34"/>
      <c r="G125" s="33"/>
      <c r="H125" s="33"/>
      <c r="I125" s="33"/>
      <c r="J125" s="33"/>
      <c r="L125" s="33"/>
      <c r="M125" s="33"/>
      <c r="N125" s="33"/>
      <c r="O125" s="33"/>
    </row>
    <row r="126" spans="2:15" ht="16.5">
      <c r="B126" s="4"/>
      <c r="E126" s="33"/>
      <c r="F126" s="34"/>
      <c r="G126" s="33"/>
      <c r="H126" s="33"/>
      <c r="I126" s="33"/>
      <c r="J126" s="33"/>
      <c r="L126" s="33"/>
      <c r="M126" s="33"/>
      <c r="N126" s="33"/>
      <c r="O126" s="33"/>
    </row>
    <row r="127" spans="2:15" ht="16.5">
      <c r="B127" s="4"/>
      <c r="E127" s="33"/>
      <c r="F127" s="34"/>
      <c r="G127" s="33"/>
      <c r="H127" s="33"/>
      <c r="I127" s="33"/>
      <c r="J127" s="33"/>
      <c r="L127" s="33"/>
      <c r="M127" s="33"/>
      <c r="N127" s="33"/>
      <c r="O127" s="33"/>
    </row>
    <row r="128" spans="2:15" ht="16.5">
      <c r="B128" s="4"/>
      <c r="E128" s="33"/>
      <c r="F128" s="34"/>
      <c r="G128" s="33"/>
      <c r="H128" s="33"/>
      <c r="I128" s="33"/>
      <c r="J128" s="33"/>
      <c r="L128" s="33"/>
      <c r="M128" s="33"/>
      <c r="N128" s="33"/>
      <c r="O128" s="33"/>
    </row>
    <row r="129" spans="2:15" ht="16.5">
      <c r="B129" s="4"/>
      <c r="E129" s="33"/>
      <c r="F129" s="34"/>
      <c r="G129" s="33"/>
      <c r="H129" s="33"/>
      <c r="I129" s="33"/>
      <c r="J129" s="33"/>
      <c r="L129" s="33"/>
      <c r="M129" s="33"/>
      <c r="N129" s="33"/>
      <c r="O129" s="33"/>
    </row>
    <row r="130" spans="2:15" ht="16.5">
      <c r="B130" s="4"/>
      <c r="E130" s="33"/>
      <c r="F130" s="34"/>
      <c r="G130" s="33"/>
      <c r="H130" s="33"/>
      <c r="I130" s="33"/>
      <c r="J130" s="33"/>
      <c r="L130" s="33"/>
      <c r="M130" s="33"/>
      <c r="N130" s="33"/>
      <c r="O130" s="33"/>
    </row>
    <row r="131" spans="2:15" ht="16.5">
      <c r="B131" s="4"/>
      <c r="E131" s="33"/>
      <c r="F131" s="34"/>
      <c r="G131" s="33"/>
      <c r="H131" s="33"/>
      <c r="I131" s="33"/>
      <c r="J131" s="33"/>
      <c r="L131" s="33"/>
      <c r="M131" s="33"/>
      <c r="N131" s="33"/>
      <c r="O131" s="33"/>
    </row>
    <row r="132" spans="2:15" ht="16.5">
      <c r="B132" s="4"/>
      <c r="E132" s="33"/>
      <c r="F132" s="34"/>
      <c r="G132" s="33"/>
      <c r="H132" s="33"/>
      <c r="I132" s="33"/>
      <c r="J132" s="33"/>
      <c r="L132" s="33"/>
      <c r="M132" s="33"/>
      <c r="N132" s="33"/>
      <c r="O132" s="33"/>
    </row>
    <row r="133" spans="2:15" ht="16.5">
      <c r="B133" s="4"/>
      <c r="E133" s="33"/>
      <c r="F133" s="34"/>
      <c r="G133" s="33"/>
      <c r="H133" s="33"/>
      <c r="I133" s="33"/>
      <c r="J133" s="33"/>
      <c r="L133" s="33"/>
      <c r="M133" s="33"/>
      <c r="N133" s="33"/>
      <c r="O133" s="33"/>
    </row>
    <row r="134" spans="2:15" ht="16.5">
      <c r="B134" s="4"/>
      <c r="E134" s="33"/>
      <c r="F134" s="34"/>
      <c r="G134" s="33"/>
      <c r="H134" s="33"/>
      <c r="I134" s="33"/>
      <c r="J134" s="33"/>
      <c r="L134" s="33"/>
      <c r="M134" s="33"/>
      <c r="N134" s="33"/>
      <c r="O134" s="33"/>
    </row>
    <row r="135" spans="2:15" ht="16.5">
      <c r="B135" s="4"/>
      <c r="E135" s="33"/>
      <c r="F135" s="34"/>
      <c r="G135" s="33"/>
      <c r="H135" s="33"/>
      <c r="I135" s="33"/>
      <c r="J135" s="33"/>
      <c r="L135" s="33"/>
      <c r="M135" s="33"/>
      <c r="N135" s="33"/>
      <c r="O135" s="33"/>
    </row>
    <row r="136" spans="2:15" ht="16.5">
      <c r="B136" s="4"/>
      <c r="E136" s="33"/>
      <c r="F136" s="34"/>
      <c r="G136" s="33"/>
      <c r="H136" s="33"/>
      <c r="I136" s="33"/>
      <c r="J136" s="33"/>
      <c r="L136" s="33"/>
      <c r="M136" s="33"/>
      <c r="N136" s="33"/>
      <c r="O136" s="33"/>
    </row>
    <row r="137" spans="2:15" ht="16.5">
      <c r="B137" s="4"/>
      <c r="E137" s="33"/>
      <c r="F137" s="34"/>
      <c r="G137" s="33"/>
      <c r="H137" s="33"/>
      <c r="I137" s="33"/>
      <c r="J137" s="33"/>
      <c r="L137" s="33"/>
      <c r="M137" s="33"/>
      <c r="N137" s="33"/>
      <c r="O137" s="33"/>
    </row>
    <row r="138" spans="2:15" ht="16.5">
      <c r="B138" s="4"/>
      <c r="E138" s="33"/>
      <c r="F138" s="34"/>
      <c r="G138" s="33"/>
      <c r="H138" s="33"/>
      <c r="I138" s="33"/>
      <c r="J138" s="33"/>
      <c r="L138" s="33"/>
      <c r="M138" s="33"/>
      <c r="N138" s="33"/>
      <c r="O138" s="33"/>
    </row>
    <row r="139" spans="2:15" ht="16.5">
      <c r="B139" s="4"/>
      <c r="E139" s="33"/>
      <c r="F139" s="34"/>
      <c r="G139" s="33"/>
      <c r="H139" s="33"/>
      <c r="I139" s="33"/>
      <c r="J139" s="33"/>
      <c r="L139" s="33"/>
      <c r="M139" s="33"/>
      <c r="N139" s="33"/>
      <c r="O139" s="33"/>
    </row>
    <row r="140" spans="2:15" ht="16.5">
      <c r="B140" s="4"/>
      <c r="E140" s="33"/>
      <c r="F140" s="34"/>
      <c r="G140" s="33"/>
      <c r="H140" s="33"/>
      <c r="I140" s="33"/>
      <c r="J140" s="33"/>
      <c r="L140" s="33"/>
      <c r="M140" s="33"/>
      <c r="N140" s="33"/>
      <c r="O140" s="33"/>
    </row>
    <row r="141" spans="2:15" ht="16.5">
      <c r="B141" s="4"/>
      <c r="E141" s="33"/>
      <c r="F141" s="34"/>
      <c r="G141" s="33"/>
      <c r="H141" s="33"/>
      <c r="I141" s="33"/>
      <c r="J141" s="33"/>
      <c r="L141" s="33"/>
      <c r="M141" s="33"/>
      <c r="N141" s="33"/>
      <c r="O141" s="33"/>
    </row>
    <row r="142" spans="2:15" ht="16.5">
      <c r="B142" s="4"/>
      <c r="E142" s="33"/>
      <c r="F142" s="34"/>
      <c r="G142" s="33"/>
      <c r="H142" s="33"/>
      <c r="I142" s="33"/>
      <c r="J142" s="33"/>
      <c r="L142" s="33"/>
      <c r="M142" s="33"/>
      <c r="N142" s="33"/>
      <c r="O142" s="33"/>
    </row>
    <row r="143" spans="2:15" ht="16.5">
      <c r="B143" s="4"/>
      <c r="E143" s="33"/>
      <c r="F143" s="34"/>
      <c r="G143" s="33"/>
      <c r="H143" s="33"/>
      <c r="I143" s="33"/>
      <c r="J143" s="33"/>
      <c r="L143" s="33"/>
      <c r="M143" s="33"/>
      <c r="N143" s="33"/>
      <c r="O143" s="33"/>
    </row>
    <row r="144" spans="2:15" ht="16.5">
      <c r="B144" s="4"/>
      <c r="E144" s="33"/>
      <c r="F144" s="34"/>
      <c r="G144" s="33"/>
      <c r="H144" s="33"/>
      <c r="I144" s="33"/>
      <c r="J144" s="33"/>
      <c r="L144" s="33"/>
      <c r="M144" s="33"/>
      <c r="N144" s="33"/>
      <c r="O144" s="33"/>
    </row>
    <row r="145" spans="2:15" ht="16.5">
      <c r="B145" s="4"/>
      <c r="E145" s="33"/>
      <c r="F145" s="34"/>
      <c r="G145" s="33"/>
      <c r="H145" s="33"/>
      <c r="I145" s="33"/>
      <c r="J145" s="33"/>
      <c r="L145" s="33"/>
      <c r="M145" s="33"/>
      <c r="N145" s="33"/>
      <c r="O145" s="33"/>
    </row>
    <row r="146" spans="2:15" ht="16.5">
      <c r="B146" s="4"/>
      <c r="E146" s="33"/>
      <c r="F146" s="34"/>
      <c r="G146" s="33"/>
      <c r="H146" s="33"/>
      <c r="I146" s="33"/>
      <c r="J146" s="33"/>
      <c r="L146" s="33"/>
      <c r="M146" s="33"/>
      <c r="N146" s="33"/>
      <c r="O146" s="33"/>
    </row>
    <row r="147" spans="2:15" ht="16.5">
      <c r="B147" s="4"/>
      <c r="E147" s="33"/>
      <c r="F147" s="34"/>
      <c r="G147" s="33"/>
      <c r="H147" s="33"/>
      <c r="I147" s="33"/>
      <c r="J147" s="33"/>
      <c r="L147" s="33"/>
      <c r="M147" s="33"/>
      <c r="N147" s="33"/>
      <c r="O147" s="33"/>
    </row>
    <row r="148" spans="2:15" ht="16.5">
      <c r="B148" s="4"/>
      <c r="E148" s="33"/>
      <c r="F148" s="34"/>
      <c r="G148" s="33"/>
      <c r="H148" s="33"/>
      <c r="I148" s="33"/>
      <c r="J148" s="33"/>
      <c r="L148" s="33"/>
      <c r="M148" s="33"/>
      <c r="N148" s="33"/>
      <c r="O148" s="33"/>
    </row>
    <row r="149" spans="2:15" ht="16.5">
      <c r="B149" s="4"/>
      <c r="E149" s="33"/>
      <c r="F149" s="34"/>
      <c r="G149" s="33"/>
      <c r="H149" s="33"/>
      <c r="I149" s="33"/>
      <c r="J149" s="33"/>
      <c r="L149" s="33"/>
      <c r="M149" s="33"/>
      <c r="N149" s="33"/>
      <c r="O149" s="33"/>
    </row>
    <row r="150" spans="2:15" ht="16.5">
      <c r="B150" s="4"/>
      <c r="E150" s="33"/>
      <c r="F150" s="34"/>
      <c r="G150" s="33"/>
      <c r="H150" s="33"/>
      <c r="I150" s="33"/>
      <c r="J150" s="33"/>
      <c r="L150" s="33"/>
      <c r="M150" s="33"/>
      <c r="N150" s="33"/>
      <c r="O150" s="33"/>
    </row>
    <row r="151" spans="2:15" ht="16.5">
      <c r="B151" s="4"/>
      <c r="E151" s="33"/>
      <c r="F151" s="34"/>
      <c r="G151" s="33"/>
      <c r="H151" s="33"/>
      <c r="I151" s="33"/>
      <c r="J151" s="33"/>
      <c r="L151" s="33"/>
      <c r="M151" s="33"/>
      <c r="N151" s="33"/>
      <c r="O151" s="33"/>
    </row>
    <row r="152" spans="2:15" ht="16.5">
      <c r="B152" s="4"/>
      <c r="E152" s="33"/>
      <c r="F152" s="34"/>
      <c r="G152" s="33"/>
      <c r="H152" s="33"/>
      <c r="I152" s="33"/>
      <c r="J152" s="33"/>
      <c r="L152" s="33"/>
      <c r="M152" s="33"/>
      <c r="N152" s="33"/>
      <c r="O152" s="33"/>
    </row>
    <row r="153" spans="2:15" ht="16.5">
      <c r="B153" s="4"/>
      <c r="E153" s="33"/>
      <c r="F153" s="34"/>
      <c r="G153" s="33"/>
      <c r="H153" s="33"/>
      <c r="I153" s="33"/>
      <c r="J153" s="33"/>
      <c r="L153" s="33"/>
      <c r="M153" s="33"/>
      <c r="N153" s="33"/>
      <c r="O153" s="33"/>
    </row>
    <row r="154" spans="2:15" ht="16.5">
      <c r="B154" s="4"/>
      <c r="E154" s="33"/>
      <c r="F154" s="34"/>
      <c r="G154" s="33"/>
      <c r="H154" s="33"/>
      <c r="I154" s="33"/>
      <c r="J154" s="33"/>
      <c r="L154" s="33"/>
      <c r="M154" s="33"/>
      <c r="N154" s="33"/>
      <c r="O154" s="33"/>
    </row>
    <row r="155" spans="2:15" ht="16.5">
      <c r="B155" s="4"/>
      <c r="E155" s="33"/>
      <c r="F155" s="34"/>
      <c r="G155" s="33"/>
      <c r="H155" s="33"/>
      <c r="I155" s="33"/>
      <c r="J155" s="33"/>
      <c r="L155" s="33"/>
      <c r="M155" s="33"/>
      <c r="N155" s="33"/>
      <c r="O155" s="33"/>
    </row>
    <row r="156" spans="2:15" ht="16.5">
      <c r="B156" s="4"/>
      <c r="E156" s="33"/>
      <c r="F156" s="34"/>
      <c r="G156" s="33"/>
      <c r="H156" s="33"/>
      <c r="I156" s="33"/>
      <c r="J156" s="33"/>
      <c r="L156" s="33"/>
      <c r="M156" s="33"/>
      <c r="N156" s="33"/>
      <c r="O156" s="33"/>
    </row>
    <row r="157" spans="2:15" ht="16.5">
      <c r="B157" s="4"/>
      <c r="E157" s="33"/>
      <c r="F157" s="34"/>
      <c r="G157" s="33"/>
      <c r="H157" s="33"/>
      <c r="I157" s="33"/>
      <c r="J157" s="33"/>
      <c r="L157" s="33"/>
      <c r="M157" s="33"/>
      <c r="N157" s="33"/>
      <c r="O157" s="33"/>
    </row>
    <row r="158" spans="2:15" ht="16.5">
      <c r="B158" s="4"/>
      <c r="E158" s="33"/>
      <c r="F158" s="34"/>
      <c r="G158" s="33"/>
      <c r="H158" s="33"/>
      <c r="I158" s="33"/>
      <c r="J158" s="33"/>
      <c r="L158" s="33"/>
      <c r="M158" s="33"/>
      <c r="N158" s="33"/>
      <c r="O158" s="33"/>
    </row>
    <row r="159" spans="2:15" ht="16.5">
      <c r="B159" s="4"/>
      <c r="E159" s="33"/>
      <c r="F159" s="34"/>
      <c r="G159" s="33"/>
      <c r="H159" s="33"/>
      <c r="I159" s="33"/>
      <c r="J159" s="33"/>
      <c r="L159" s="33"/>
      <c r="M159" s="33"/>
      <c r="N159" s="33"/>
      <c r="O159" s="33"/>
    </row>
    <row r="160" spans="2:15" ht="16.5">
      <c r="B160" s="4"/>
      <c r="E160" s="33"/>
      <c r="F160" s="34"/>
      <c r="G160" s="33"/>
      <c r="H160" s="33"/>
      <c r="I160" s="33"/>
      <c r="J160" s="33"/>
      <c r="L160" s="33"/>
      <c r="M160" s="33"/>
      <c r="N160" s="33"/>
      <c r="O160" s="33"/>
    </row>
    <row r="161" spans="2:15" ht="16.5">
      <c r="B161" s="4"/>
      <c r="E161" s="33"/>
      <c r="F161" s="34"/>
      <c r="G161" s="33"/>
      <c r="H161" s="33"/>
      <c r="I161" s="33"/>
      <c r="J161" s="33"/>
      <c r="L161" s="33"/>
      <c r="M161" s="33"/>
      <c r="N161" s="33"/>
      <c r="O161" s="33"/>
    </row>
    <row r="162" spans="2:15" ht="16.5">
      <c r="B162" s="4"/>
      <c r="E162" s="33"/>
      <c r="F162" s="34"/>
      <c r="G162" s="33"/>
      <c r="H162" s="33"/>
      <c r="I162" s="33"/>
      <c r="J162" s="33"/>
      <c r="L162" s="33"/>
      <c r="M162" s="33"/>
      <c r="N162" s="33"/>
      <c r="O162" s="33"/>
    </row>
    <row r="163" spans="5:15" ht="16.5">
      <c r="E163" s="33"/>
      <c r="F163" s="34"/>
      <c r="G163" s="33"/>
      <c r="H163" s="33"/>
      <c r="I163" s="33"/>
      <c r="J163" s="33"/>
      <c r="L163" s="33"/>
      <c r="M163" s="33"/>
      <c r="N163" s="33"/>
      <c r="O163" s="33"/>
    </row>
    <row r="164" spans="5:15" ht="16.5">
      <c r="E164" s="33"/>
      <c r="F164" s="34"/>
      <c r="G164" s="33"/>
      <c r="H164" s="33"/>
      <c r="I164" s="33"/>
      <c r="J164" s="33"/>
      <c r="L164" s="33"/>
      <c r="M164" s="33"/>
      <c r="N164" s="33"/>
      <c r="O164" s="33"/>
    </row>
    <row r="165" spans="5:15" ht="16.5">
      <c r="E165" s="33"/>
      <c r="F165" s="34"/>
      <c r="G165" s="33"/>
      <c r="H165" s="33"/>
      <c r="I165" s="33"/>
      <c r="J165" s="33"/>
      <c r="L165" s="33"/>
      <c r="M165" s="33"/>
      <c r="N165" s="33"/>
      <c r="O165" s="33"/>
    </row>
    <row r="166" spans="5:15" ht="16.5">
      <c r="E166" s="33"/>
      <c r="F166" s="34"/>
      <c r="G166" s="33"/>
      <c r="H166" s="33"/>
      <c r="I166" s="33"/>
      <c r="J166" s="33"/>
      <c r="L166" s="33"/>
      <c r="M166" s="33"/>
      <c r="N166" s="33"/>
      <c r="O166" s="33"/>
    </row>
    <row r="167" spans="5:15" ht="16.5">
      <c r="E167" s="33"/>
      <c r="F167" s="34"/>
      <c r="G167" s="33"/>
      <c r="H167" s="33"/>
      <c r="I167" s="33"/>
      <c r="J167" s="33"/>
      <c r="L167" s="33"/>
      <c r="M167" s="33"/>
      <c r="N167" s="33"/>
      <c r="O167" s="33"/>
    </row>
    <row r="168" spans="5:15" ht="16.5">
      <c r="E168" s="33"/>
      <c r="F168" s="34"/>
      <c r="G168" s="33"/>
      <c r="H168" s="33"/>
      <c r="I168" s="33"/>
      <c r="J168" s="33"/>
      <c r="L168" s="33"/>
      <c r="M168" s="33"/>
      <c r="N168" s="33"/>
      <c r="O168" s="33"/>
    </row>
    <row r="169" spans="5:15" ht="16.5">
      <c r="E169" s="33"/>
      <c r="F169" s="34"/>
      <c r="G169" s="33"/>
      <c r="H169" s="33"/>
      <c r="I169" s="33"/>
      <c r="J169" s="33"/>
      <c r="L169" s="33"/>
      <c r="M169" s="33"/>
      <c r="N169" s="33"/>
      <c r="O169" s="33"/>
    </row>
    <row r="170" spans="5:15" ht="16.5">
      <c r="E170" s="33"/>
      <c r="F170" s="34"/>
      <c r="G170" s="33"/>
      <c r="H170" s="33"/>
      <c r="I170" s="33"/>
      <c r="J170" s="33"/>
      <c r="L170" s="33"/>
      <c r="M170" s="33"/>
      <c r="N170" s="33"/>
      <c r="O170" s="33"/>
    </row>
    <row r="171" spans="5:15" ht="16.5">
      <c r="E171" s="33"/>
      <c r="F171" s="34"/>
      <c r="G171" s="33"/>
      <c r="H171" s="33"/>
      <c r="I171" s="33"/>
      <c r="J171" s="33"/>
      <c r="L171" s="33"/>
      <c r="M171" s="33"/>
      <c r="N171" s="33"/>
      <c r="O171" s="33"/>
    </row>
    <row r="172" spans="5:15" ht="16.5">
      <c r="E172" s="33"/>
      <c r="F172" s="34"/>
      <c r="G172" s="33"/>
      <c r="H172" s="33"/>
      <c r="I172" s="33"/>
      <c r="J172" s="33"/>
      <c r="L172" s="33"/>
      <c r="M172" s="33"/>
      <c r="N172" s="33"/>
      <c r="O172" s="33"/>
    </row>
    <row r="173" spans="5:15" ht="16.5">
      <c r="E173" s="33"/>
      <c r="F173" s="34"/>
      <c r="G173" s="33"/>
      <c r="H173" s="33"/>
      <c r="I173" s="33"/>
      <c r="J173" s="33"/>
      <c r="L173" s="33"/>
      <c r="M173" s="33"/>
      <c r="N173" s="33"/>
      <c r="O173" s="33"/>
    </row>
    <row r="174" spans="5:15" ht="16.5">
      <c r="E174" s="33"/>
      <c r="F174" s="34"/>
      <c r="G174" s="33"/>
      <c r="H174" s="33"/>
      <c r="I174" s="33"/>
      <c r="J174" s="33"/>
      <c r="L174" s="33"/>
      <c r="M174" s="33"/>
      <c r="N174" s="33"/>
      <c r="O174" s="33"/>
    </row>
    <row r="175" spans="5:15" ht="16.5">
      <c r="E175" s="33"/>
      <c r="F175" s="34"/>
      <c r="G175" s="33"/>
      <c r="H175" s="33"/>
      <c r="I175" s="33"/>
      <c r="J175" s="33"/>
      <c r="L175" s="33"/>
      <c r="M175" s="33"/>
      <c r="N175" s="33"/>
      <c r="O175" s="33"/>
    </row>
    <row r="176" spans="5:15" ht="16.5">
      <c r="E176" s="33"/>
      <c r="F176" s="34"/>
      <c r="G176" s="33"/>
      <c r="H176" s="33"/>
      <c r="I176" s="33"/>
      <c r="J176" s="33"/>
      <c r="L176" s="33"/>
      <c r="M176" s="33"/>
      <c r="N176" s="33"/>
      <c r="O176" s="33"/>
    </row>
    <row r="177" spans="5:15" ht="16.5">
      <c r="E177" s="33"/>
      <c r="F177" s="34"/>
      <c r="G177" s="33"/>
      <c r="H177" s="33"/>
      <c r="I177" s="33"/>
      <c r="J177" s="33"/>
      <c r="L177" s="33"/>
      <c r="M177" s="33"/>
      <c r="N177" s="33"/>
      <c r="O177" s="33"/>
    </row>
    <row r="178" spans="5:15" ht="16.5">
      <c r="E178" s="33"/>
      <c r="F178" s="34"/>
      <c r="G178" s="33"/>
      <c r="H178" s="33"/>
      <c r="I178" s="33"/>
      <c r="J178" s="33"/>
      <c r="L178" s="33"/>
      <c r="M178" s="33"/>
      <c r="N178" s="33"/>
      <c r="O178" s="33"/>
    </row>
    <row r="179" spans="5:15" ht="16.5">
      <c r="E179" s="33"/>
      <c r="F179" s="34"/>
      <c r="G179" s="33"/>
      <c r="H179" s="33"/>
      <c r="I179" s="33"/>
      <c r="J179" s="33"/>
      <c r="L179" s="33"/>
      <c r="M179" s="33"/>
      <c r="N179" s="33"/>
      <c r="O179" s="33"/>
    </row>
    <row r="180" spans="5:15" ht="16.5">
      <c r="E180" s="33"/>
      <c r="F180" s="34"/>
      <c r="G180" s="33"/>
      <c r="H180" s="33"/>
      <c r="I180" s="33"/>
      <c r="J180" s="33"/>
      <c r="L180" s="33"/>
      <c r="M180" s="33"/>
      <c r="N180" s="33"/>
      <c r="O180" s="33"/>
    </row>
    <row r="181" spans="5:15" ht="16.5">
      <c r="E181" s="33"/>
      <c r="F181" s="34"/>
      <c r="G181" s="33"/>
      <c r="H181" s="33"/>
      <c r="I181" s="33"/>
      <c r="J181" s="33"/>
      <c r="L181" s="33"/>
      <c r="M181" s="33"/>
      <c r="N181" s="33"/>
      <c r="O181" s="33"/>
    </row>
    <row r="182" spans="5:15" ht="16.5">
      <c r="E182" s="33"/>
      <c r="F182" s="34"/>
      <c r="G182" s="33"/>
      <c r="H182" s="33"/>
      <c r="I182" s="33"/>
      <c r="J182" s="33"/>
      <c r="L182" s="33"/>
      <c r="M182" s="33"/>
      <c r="N182" s="33"/>
      <c r="O182" s="33"/>
    </row>
    <row r="183" spans="5:15" ht="16.5">
      <c r="E183" s="33"/>
      <c r="F183" s="34"/>
      <c r="G183" s="33"/>
      <c r="H183" s="33"/>
      <c r="I183" s="33"/>
      <c r="J183" s="33"/>
      <c r="L183" s="33"/>
      <c r="M183" s="33"/>
      <c r="N183" s="33"/>
      <c r="O183" s="33"/>
    </row>
    <row r="184" spans="5:15" ht="16.5">
      <c r="E184" s="33"/>
      <c r="F184" s="34"/>
      <c r="G184" s="33"/>
      <c r="H184" s="33"/>
      <c r="I184" s="33"/>
      <c r="J184" s="33"/>
      <c r="L184" s="33"/>
      <c r="M184" s="33"/>
      <c r="N184" s="33"/>
      <c r="O184" s="33"/>
    </row>
    <row r="185" spans="5:15" ht="16.5">
      <c r="E185" s="33"/>
      <c r="F185" s="34"/>
      <c r="G185" s="33"/>
      <c r="H185" s="33"/>
      <c r="I185" s="33"/>
      <c r="J185" s="33"/>
      <c r="L185" s="33"/>
      <c r="M185" s="33"/>
      <c r="N185" s="33"/>
      <c r="O185" s="33"/>
    </row>
    <row r="186" spans="5:15" ht="16.5">
      <c r="E186" s="33"/>
      <c r="F186" s="34"/>
      <c r="G186" s="33"/>
      <c r="H186" s="33"/>
      <c r="I186" s="33"/>
      <c r="J186" s="33"/>
      <c r="L186" s="33"/>
      <c r="M186" s="33"/>
      <c r="N186" s="33"/>
      <c r="O186" s="33"/>
    </row>
    <row r="187" spans="5:15" ht="16.5">
      <c r="E187" s="33"/>
      <c r="F187" s="34"/>
      <c r="G187" s="33"/>
      <c r="H187" s="33"/>
      <c r="I187" s="33"/>
      <c r="J187" s="33"/>
      <c r="L187" s="33"/>
      <c r="M187" s="33"/>
      <c r="N187" s="33"/>
      <c r="O187" s="33"/>
    </row>
    <row r="188" spans="5:15" ht="16.5">
      <c r="E188" s="33"/>
      <c r="F188" s="34"/>
      <c r="G188" s="33"/>
      <c r="H188" s="33"/>
      <c r="I188" s="33"/>
      <c r="J188" s="33"/>
      <c r="L188" s="33"/>
      <c r="M188" s="33"/>
      <c r="N188" s="33"/>
      <c r="O188" s="33"/>
    </row>
    <row r="189" spans="5:15" ht="16.5">
      <c r="E189" s="33"/>
      <c r="F189" s="34"/>
      <c r="G189" s="33"/>
      <c r="H189" s="33"/>
      <c r="I189" s="33"/>
      <c r="J189" s="33"/>
      <c r="L189" s="33"/>
      <c r="M189" s="33"/>
      <c r="N189" s="33"/>
      <c r="O189" s="33"/>
    </row>
    <row r="190" spans="5:15" ht="16.5">
      <c r="E190" s="33"/>
      <c r="F190" s="34"/>
      <c r="G190" s="33"/>
      <c r="H190" s="33"/>
      <c r="I190" s="33"/>
      <c r="J190" s="33"/>
      <c r="L190" s="33"/>
      <c r="M190" s="33"/>
      <c r="N190" s="33"/>
      <c r="O190" s="33"/>
    </row>
    <row r="191" spans="5:15" ht="16.5">
      <c r="E191" s="33"/>
      <c r="F191" s="34"/>
      <c r="G191" s="33"/>
      <c r="H191" s="33"/>
      <c r="I191" s="33"/>
      <c r="J191" s="33"/>
      <c r="L191" s="33"/>
      <c r="M191" s="33"/>
      <c r="N191" s="33"/>
      <c r="O191" s="33"/>
    </row>
    <row r="192" spans="5:15" ht="16.5">
      <c r="E192" s="33"/>
      <c r="F192" s="34"/>
      <c r="G192" s="33"/>
      <c r="H192" s="33"/>
      <c r="I192" s="33"/>
      <c r="J192" s="33"/>
      <c r="L192" s="33"/>
      <c r="M192" s="33"/>
      <c r="N192" s="33"/>
      <c r="O192" s="33"/>
    </row>
    <row r="193" spans="5:15" ht="16.5">
      <c r="E193" s="33"/>
      <c r="F193" s="34"/>
      <c r="G193" s="33"/>
      <c r="H193" s="33"/>
      <c r="I193" s="33"/>
      <c r="J193" s="33"/>
      <c r="L193" s="33"/>
      <c r="M193" s="33"/>
      <c r="N193" s="33"/>
      <c r="O193" s="33"/>
    </row>
    <row r="194" spans="5:15" ht="16.5">
      <c r="E194" s="33"/>
      <c r="F194" s="34"/>
      <c r="G194" s="33"/>
      <c r="H194" s="33"/>
      <c r="I194" s="33"/>
      <c r="J194" s="33"/>
      <c r="L194" s="33"/>
      <c r="M194" s="33"/>
      <c r="N194" s="33"/>
      <c r="O194" s="33"/>
    </row>
    <row r="195" spans="5:15" ht="16.5">
      <c r="E195" s="33"/>
      <c r="F195" s="34"/>
      <c r="G195" s="33"/>
      <c r="H195" s="33"/>
      <c r="I195" s="33"/>
      <c r="J195" s="33"/>
      <c r="L195" s="33"/>
      <c r="M195" s="33"/>
      <c r="N195" s="33"/>
      <c r="O195" s="33"/>
    </row>
    <row r="196" spans="5:15" ht="16.5">
      <c r="E196" s="33"/>
      <c r="F196" s="34"/>
      <c r="G196" s="33"/>
      <c r="H196" s="33"/>
      <c r="I196" s="33"/>
      <c r="J196" s="33"/>
      <c r="L196" s="33"/>
      <c r="M196" s="33"/>
      <c r="N196" s="33"/>
      <c r="O196" s="33"/>
    </row>
    <row r="197" spans="5:15" ht="16.5">
      <c r="E197" s="33"/>
      <c r="F197" s="34"/>
      <c r="G197" s="33"/>
      <c r="H197" s="33"/>
      <c r="I197" s="33"/>
      <c r="J197" s="33"/>
      <c r="L197" s="33"/>
      <c r="M197" s="33"/>
      <c r="N197" s="33"/>
      <c r="O197" s="33"/>
    </row>
    <row r="198" spans="5:15" ht="16.5">
      <c r="E198" s="33"/>
      <c r="F198" s="34"/>
      <c r="G198" s="33"/>
      <c r="H198" s="33"/>
      <c r="I198" s="33"/>
      <c r="J198" s="33"/>
      <c r="L198" s="33"/>
      <c r="M198" s="33"/>
      <c r="N198" s="33"/>
      <c r="O198" s="33"/>
    </row>
    <row r="199" spans="5:15" ht="16.5">
      <c r="E199" s="33"/>
      <c r="F199" s="34"/>
      <c r="G199" s="33"/>
      <c r="H199" s="33"/>
      <c r="I199" s="33"/>
      <c r="J199" s="33"/>
      <c r="L199" s="33"/>
      <c r="M199" s="33"/>
      <c r="N199" s="33"/>
      <c r="O199" s="33"/>
    </row>
    <row r="200" spans="5:15" ht="16.5">
      <c r="E200" s="33"/>
      <c r="F200" s="34"/>
      <c r="G200" s="33"/>
      <c r="H200" s="33"/>
      <c r="I200" s="33"/>
      <c r="J200" s="33"/>
      <c r="L200" s="33"/>
      <c r="M200" s="33"/>
      <c r="N200" s="33"/>
      <c r="O200" s="33"/>
    </row>
    <row r="201" spans="5:15" ht="16.5">
      <c r="E201" s="33"/>
      <c r="F201" s="34"/>
      <c r="G201" s="33"/>
      <c r="H201" s="33"/>
      <c r="I201" s="33"/>
      <c r="J201" s="33"/>
      <c r="L201" s="33"/>
      <c r="M201" s="33"/>
      <c r="N201" s="33"/>
      <c r="O201" s="33"/>
    </row>
    <row r="202" spans="5:15" ht="16.5">
      <c r="E202" s="33"/>
      <c r="F202" s="34"/>
      <c r="G202" s="33"/>
      <c r="H202" s="33"/>
      <c r="I202" s="33"/>
      <c r="J202" s="33"/>
      <c r="L202" s="33"/>
      <c r="M202" s="33"/>
      <c r="N202" s="33"/>
      <c r="O202" s="33"/>
    </row>
    <row r="203" spans="5:15" ht="16.5">
      <c r="E203" s="33"/>
      <c r="F203" s="34"/>
      <c r="G203" s="33"/>
      <c r="H203" s="33"/>
      <c r="I203" s="33"/>
      <c r="J203" s="33"/>
      <c r="L203" s="33"/>
      <c r="M203" s="33"/>
      <c r="N203" s="33"/>
      <c r="O203" s="33"/>
    </row>
    <row r="204" spans="5:15" ht="16.5">
      <c r="E204" s="33"/>
      <c r="F204" s="34"/>
      <c r="G204" s="33"/>
      <c r="H204" s="33"/>
      <c r="I204" s="33"/>
      <c r="J204" s="33"/>
      <c r="L204" s="33"/>
      <c r="M204" s="33"/>
      <c r="N204" s="33"/>
      <c r="O204" s="33"/>
    </row>
    <row r="205" spans="5:15" ht="16.5">
      <c r="E205" s="33"/>
      <c r="F205" s="34"/>
      <c r="G205" s="33"/>
      <c r="H205" s="33"/>
      <c r="I205" s="33"/>
      <c r="J205" s="33"/>
      <c r="L205" s="33"/>
      <c r="M205" s="33"/>
      <c r="N205" s="33"/>
      <c r="O205" s="33"/>
    </row>
    <row r="206" spans="5:15" ht="16.5">
      <c r="E206" s="33"/>
      <c r="F206" s="34"/>
      <c r="G206" s="33"/>
      <c r="H206" s="33"/>
      <c r="I206" s="33"/>
      <c r="J206" s="33"/>
      <c r="L206" s="33"/>
      <c r="M206" s="33"/>
      <c r="N206" s="33"/>
      <c r="O206" s="33"/>
    </row>
    <row r="207" spans="5:15" ht="16.5">
      <c r="E207" s="33"/>
      <c r="F207" s="34"/>
      <c r="G207" s="33"/>
      <c r="H207" s="33"/>
      <c r="I207" s="33"/>
      <c r="J207" s="33"/>
      <c r="L207" s="33"/>
      <c r="M207" s="33"/>
      <c r="N207" s="33"/>
      <c r="O207" s="33"/>
    </row>
    <row r="208" spans="5:15" ht="16.5">
      <c r="E208" s="33"/>
      <c r="F208" s="34"/>
      <c r="G208" s="33"/>
      <c r="H208" s="33"/>
      <c r="I208" s="33"/>
      <c r="J208" s="33"/>
      <c r="L208" s="33"/>
      <c r="M208" s="33"/>
      <c r="N208" s="33"/>
      <c r="O208" s="33"/>
    </row>
    <row r="209" spans="5:15" ht="16.5">
      <c r="E209" s="33"/>
      <c r="F209" s="34"/>
      <c r="G209" s="33"/>
      <c r="H209" s="33"/>
      <c r="I209" s="33"/>
      <c r="J209" s="33"/>
      <c r="L209" s="33"/>
      <c r="M209" s="33"/>
      <c r="N209" s="33"/>
      <c r="O209" s="33"/>
    </row>
    <row r="210" spans="5:15" ht="16.5">
      <c r="E210" s="33"/>
      <c r="F210" s="34"/>
      <c r="G210" s="33"/>
      <c r="H210" s="33"/>
      <c r="I210" s="33"/>
      <c r="J210" s="33"/>
      <c r="L210" s="33"/>
      <c r="M210" s="33"/>
      <c r="N210" s="33"/>
      <c r="O210" s="33"/>
    </row>
    <row r="211" spans="5:15" ht="16.5">
      <c r="E211" s="33"/>
      <c r="F211" s="34"/>
      <c r="G211" s="33"/>
      <c r="H211" s="33"/>
      <c r="I211" s="33"/>
      <c r="J211" s="33"/>
      <c r="L211" s="33"/>
      <c r="M211" s="33"/>
      <c r="N211" s="33"/>
      <c r="O211" s="33"/>
    </row>
    <row r="212" spans="5:15" ht="16.5">
      <c r="E212" s="33"/>
      <c r="F212" s="34"/>
      <c r="G212" s="33"/>
      <c r="H212" s="33"/>
      <c r="I212" s="33"/>
      <c r="J212" s="33"/>
      <c r="L212" s="33"/>
      <c r="M212" s="33"/>
      <c r="N212" s="33"/>
      <c r="O212" s="33"/>
    </row>
    <row r="213" spans="5:15" ht="16.5">
      <c r="E213" s="33"/>
      <c r="F213" s="34"/>
      <c r="G213" s="33"/>
      <c r="H213" s="33"/>
      <c r="I213" s="33"/>
      <c r="J213" s="33"/>
      <c r="L213" s="33"/>
      <c r="M213" s="33"/>
      <c r="N213" s="33"/>
      <c r="O213" s="33"/>
    </row>
    <row r="214" spans="5:15" ht="16.5">
      <c r="E214" s="33"/>
      <c r="F214" s="34"/>
      <c r="G214" s="33"/>
      <c r="H214" s="33"/>
      <c r="I214" s="33"/>
      <c r="J214" s="33"/>
      <c r="L214" s="33"/>
      <c r="M214" s="33"/>
      <c r="N214" s="33"/>
      <c r="O214" s="33"/>
    </row>
    <row r="215" spans="5:15" ht="16.5">
      <c r="E215" s="33"/>
      <c r="F215" s="34"/>
      <c r="G215" s="33"/>
      <c r="H215" s="33"/>
      <c r="I215" s="33"/>
      <c r="J215" s="33"/>
      <c r="L215" s="33"/>
      <c r="M215" s="33"/>
      <c r="N215" s="33"/>
      <c r="O215" s="33"/>
    </row>
    <row r="216" spans="5:15" ht="16.5">
      <c r="E216" s="33"/>
      <c r="F216" s="34"/>
      <c r="G216" s="33"/>
      <c r="H216" s="33"/>
      <c r="I216" s="33"/>
      <c r="J216" s="33"/>
      <c r="L216" s="33"/>
      <c r="M216" s="33"/>
      <c r="N216" s="33"/>
      <c r="O216" s="33"/>
    </row>
    <row r="217" spans="5:15" ht="16.5">
      <c r="E217" s="33"/>
      <c r="F217" s="34"/>
      <c r="G217" s="33"/>
      <c r="H217" s="33"/>
      <c r="I217" s="33"/>
      <c r="J217" s="33"/>
      <c r="L217" s="33"/>
      <c r="M217" s="33"/>
      <c r="N217" s="33"/>
      <c r="O217" s="33"/>
    </row>
    <row r="218" spans="5:15" ht="16.5">
      <c r="E218" s="33"/>
      <c r="F218" s="34"/>
      <c r="G218" s="33"/>
      <c r="H218" s="33"/>
      <c r="I218" s="33"/>
      <c r="J218" s="33"/>
      <c r="L218" s="33"/>
      <c r="M218" s="33"/>
      <c r="N218" s="33"/>
      <c r="O218" s="33"/>
    </row>
    <row r="219" spans="5:15" ht="16.5">
      <c r="E219" s="33"/>
      <c r="F219" s="34"/>
      <c r="G219" s="33"/>
      <c r="H219" s="33"/>
      <c r="I219" s="33"/>
      <c r="J219" s="33"/>
      <c r="L219" s="33"/>
      <c r="M219" s="33"/>
      <c r="N219" s="33"/>
      <c r="O219" s="33"/>
    </row>
    <row r="220" spans="5:15" ht="16.5">
      <c r="E220" s="33"/>
      <c r="F220" s="34"/>
      <c r="G220" s="33"/>
      <c r="H220" s="33"/>
      <c r="I220" s="33"/>
      <c r="J220" s="33"/>
      <c r="L220" s="33"/>
      <c r="M220" s="33"/>
      <c r="N220" s="33"/>
      <c r="O220" s="33"/>
    </row>
    <row r="221" spans="5:15" ht="16.5">
      <c r="E221" s="33"/>
      <c r="F221" s="34"/>
      <c r="G221" s="33"/>
      <c r="H221" s="33"/>
      <c r="I221" s="33"/>
      <c r="J221" s="33"/>
      <c r="L221" s="33"/>
      <c r="M221" s="33"/>
      <c r="N221" s="33"/>
      <c r="O221" s="33"/>
    </row>
    <row r="222" spans="5:15" ht="16.5">
      <c r="E222" s="33"/>
      <c r="F222" s="34"/>
      <c r="G222" s="33"/>
      <c r="H222" s="33"/>
      <c r="I222" s="33"/>
      <c r="J222" s="33"/>
      <c r="L222" s="33"/>
      <c r="M222" s="33"/>
      <c r="N222" s="33"/>
      <c r="O222" s="33"/>
    </row>
    <row r="223" spans="5:15" ht="16.5">
      <c r="E223" s="33"/>
      <c r="F223" s="34"/>
      <c r="G223" s="33"/>
      <c r="H223" s="33"/>
      <c r="I223" s="33"/>
      <c r="J223" s="33"/>
      <c r="L223" s="33"/>
      <c r="M223" s="33"/>
      <c r="N223" s="33"/>
      <c r="O223" s="33"/>
    </row>
    <row r="224" spans="5:15" ht="16.5">
      <c r="E224" s="33"/>
      <c r="F224" s="34"/>
      <c r="G224" s="33"/>
      <c r="H224" s="33"/>
      <c r="I224" s="33"/>
      <c r="J224" s="33"/>
      <c r="L224" s="33"/>
      <c r="M224" s="33"/>
      <c r="N224" s="33"/>
      <c r="O224" s="33"/>
    </row>
    <row r="225" spans="5:15" ht="16.5">
      <c r="E225" s="33"/>
      <c r="F225" s="34"/>
      <c r="G225" s="33"/>
      <c r="H225" s="33"/>
      <c r="I225" s="33"/>
      <c r="J225" s="33"/>
      <c r="L225" s="33"/>
      <c r="M225" s="33"/>
      <c r="N225" s="33"/>
      <c r="O225" s="33"/>
    </row>
    <row r="226" spans="5:15" ht="16.5">
      <c r="E226" s="33"/>
      <c r="F226" s="34"/>
      <c r="G226" s="33"/>
      <c r="H226" s="33"/>
      <c r="I226" s="33"/>
      <c r="J226" s="33"/>
      <c r="L226" s="33"/>
      <c r="M226" s="33"/>
      <c r="N226" s="33"/>
      <c r="O226" s="33"/>
    </row>
    <row r="227" spans="5:15" ht="16.5">
      <c r="E227" s="33"/>
      <c r="F227" s="34"/>
      <c r="G227" s="33"/>
      <c r="H227" s="33"/>
      <c r="I227" s="33"/>
      <c r="J227" s="33"/>
      <c r="L227" s="33"/>
      <c r="M227" s="33"/>
      <c r="N227" s="33"/>
      <c r="O227" s="33"/>
    </row>
    <row r="228" spans="5:15" ht="16.5">
      <c r="E228" s="33"/>
      <c r="F228" s="34"/>
      <c r="G228" s="33"/>
      <c r="H228" s="33"/>
      <c r="I228" s="33"/>
      <c r="J228" s="33"/>
      <c r="L228" s="33"/>
      <c r="M228" s="33"/>
      <c r="N228" s="33"/>
      <c r="O228" s="33"/>
    </row>
    <row r="229" spans="5:15" ht="16.5">
      <c r="E229" s="33"/>
      <c r="F229" s="34"/>
      <c r="G229" s="33"/>
      <c r="H229" s="33"/>
      <c r="I229" s="33"/>
      <c r="J229" s="33"/>
      <c r="L229" s="33"/>
      <c r="M229" s="33"/>
      <c r="N229" s="33"/>
      <c r="O229" s="33"/>
    </row>
    <row r="230" spans="5:15" ht="16.5">
      <c r="E230" s="33"/>
      <c r="F230" s="34"/>
      <c r="G230" s="33"/>
      <c r="H230" s="33"/>
      <c r="I230" s="33"/>
      <c r="J230" s="33"/>
      <c r="L230" s="33"/>
      <c r="M230" s="33"/>
      <c r="N230" s="33"/>
      <c r="O230" s="33"/>
    </row>
    <row r="231" spans="5:15" ht="16.5">
      <c r="E231" s="33"/>
      <c r="F231" s="34"/>
      <c r="G231" s="33"/>
      <c r="H231" s="33"/>
      <c r="I231" s="33"/>
      <c r="J231" s="33"/>
      <c r="L231" s="33"/>
      <c r="M231" s="33"/>
      <c r="N231" s="33"/>
      <c r="O231" s="33"/>
    </row>
    <row r="232" spans="5:15" ht="16.5">
      <c r="E232" s="33"/>
      <c r="F232" s="34"/>
      <c r="G232" s="33"/>
      <c r="H232" s="33"/>
      <c r="I232" s="33"/>
      <c r="J232" s="33"/>
      <c r="L232" s="33"/>
      <c r="M232" s="33"/>
      <c r="N232" s="33"/>
      <c r="O232" s="33"/>
    </row>
    <row r="233" spans="5:15" ht="16.5">
      <c r="E233" s="33"/>
      <c r="F233" s="34"/>
      <c r="G233" s="33"/>
      <c r="H233" s="33"/>
      <c r="I233" s="33"/>
      <c r="J233" s="33"/>
      <c r="L233" s="33"/>
      <c r="M233" s="33"/>
      <c r="N233" s="33"/>
      <c r="O233" s="33"/>
    </row>
    <row r="234" spans="5:15" ht="16.5">
      <c r="E234" s="33"/>
      <c r="F234" s="34"/>
      <c r="G234" s="33"/>
      <c r="H234" s="33"/>
      <c r="I234" s="33"/>
      <c r="J234" s="33"/>
      <c r="L234" s="33"/>
      <c r="M234" s="33"/>
      <c r="N234" s="33"/>
      <c r="O234" s="33"/>
    </row>
    <row r="235" spans="5:15" ht="16.5">
      <c r="E235" s="33"/>
      <c r="F235" s="34"/>
      <c r="G235" s="33"/>
      <c r="H235" s="33"/>
      <c r="I235" s="33"/>
      <c r="J235" s="33"/>
      <c r="L235" s="33"/>
      <c r="M235" s="33"/>
      <c r="N235" s="33"/>
      <c r="O235" s="33"/>
    </row>
    <row r="236" spans="5:15" ht="16.5">
      <c r="E236" s="33"/>
      <c r="F236" s="34"/>
      <c r="G236" s="33"/>
      <c r="H236" s="33"/>
      <c r="I236" s="33"/>
      <c r="J236" s="33"/>
      <c r="L236" s="33"/>
      <c r="M236" s="33"/>
      <c r="N236" s="33"/>
      <c r="O236" s="33"/>
    </row>
    <row r="237" spans="5:15" ht="16.5">
      <c r="E237" s="33"/>
      <c r="F237" s="34"/>
      <c r="G237" s="33"/>
      <c r="H237" s="33"/>
      <c r="I237" s="33"/>
      <c r="J237" s="33"/>
      <c r="L237" s="33"/>
      <c r="M237" s="33"/>
      <c r="N237" s="33"/>
      <c r="O237" s="33"/>
    </row>
    <row r="238" spans="5:15" ht="16.5">
      <c r="E238" s="33"/>
      <c r="F238" s="34"/>
      <c r="G238" s="33"/>
      <c r="H238" s="33"/>
      <c r="I238" s="33"/>
      <c r="J238" s="33"/>
      <c r="L238" s="33"/>
      <c r="M238" s="33"/>
      <c r="N238" s="33"/>
      <c r="O238" s="33"/>
    </row>
    <row r="239" spans="5:15" ht="16.5">
      <c r="E239" s="33"/>
      <c r="F239" s="34"/>
      <c r="G239" s="33"/>
      <c r="H239" s="33"/>
      <c r="I239" s="33"/>
      <c r="J239" s="33"/>
      <c r="L239" s="33"/>
      <c r="M239" s="33"/>
      <c r="N239" s="33"/>
      <c r="O239" s="33"/>
    </row>
    <row r="240" spans="5:15" ht="16.5">
      <c r="E240" s="33"/>
      <c r="F240" s="34"/>
      <c r="G240" s="33"/>
      <c r="H240" s="33"/>
      <c r="I240" s="33"/>
      <c r="J240" s="33"/>
      <c r="L240" s="33"/>
      <c r="M240" s="33"/>
      <c r="N240" s="33"/>
      <c r="O240" s="33"/>
    </row>
    <row r="241" spans="5:15" ht="16.5">
      <c r="E241" s="33"/>
      <c r="F241" s="34"/>
      <c r="G241" s="33"/>
      <c r="H241" s="33"/>
      <c r="I241" s="33"/>
      <c r="J241" s="33"/>
      <c r="L241" s="33"/>
      <c r="M241" s="33"/>
      <c r="N241" s="33"/>
      <c r="O241" s="33"/>
    </row>
    <row r="242" spans="5:15" ht="16.5">
      <c r="E242" s="33"/>
      <c r="F242" s="34"/>
      <c r="G242" s="33"/>
      <c r="H242" s="33"/>
      <c r="I242" s="33"/>
      <c r="J242" s="33"/>
      <c r="L242" s="33"/>
      <c r="M242" s="33"/>
      <c r="N242" s="33"/>
      <c r="O242" s="33"/>
    </row>
    <row r="243" spans="5:15" ht="16.5">
      <c r="E243" s="33"/>
      <c r="F243" s="34"/>
      <c r="G243" s="33"/>
      <c r="H243" s="33"/>
      <c r="I243" s="33"/>
      <c r="J243" s="33"/>
      <c r="L243" s="33"/>
      <c r="M243" s="33"/>
      <c r="N243" s="33"/>
      <c r="O243" s="33"/>
    </row>
    <row r="244" spans="5:15" ht="16.5">
      <c r="E244" s="33"/>
      <c r="F244" s="34"/>
      <c r="G244" s="33"/>
      <c r="H244" s="33"/>
      <c r="I244" s="33"/>
      <c r="J244" s="33"/>
      <c r="L244" s="33"/>
      <c r="M244" s="33"/>
      <c r="N244" s="33"/>
      <c r="O244" s="33"/>
    </row>
    <row r="245" spans="5:15" ht="16.5">
      <c r="E245" s="33"/>
      <c r="F245" s="34"/>
      <c r="G245" s="33"/>
      <c r="H245" s="33"/>
      <c r="I245" s="33"/>
      <c r="J245" s="33"/>
      <c r="L245" s="33"/>
      <c r="M245" s="33"/>
      <c r="N245" s="33"/>
      <c r="O245" s="33"/>
    </row>
    <row r="246" spans="5:15" ht="16.5">
      <c r="E246" s="33"/>
      <c r="F246" s="34"/>
      <c r="G246" s="33"/>
      <c r="H246" s="33"/>
      <c r="I246" s="33"/>
      <c r="J246" s="33"/>
      <c r="L246" s="33"/>
      <c r="M246" s="33"/>
      <c r="N246" s="33"/>
      <c r="O246" s="33"/>
    </row>
    <row r="247" spans="5:15" ht="16.5">
      <c r="E247" s="33"/>
      <c r="F247" s="34"/>
      <c r="G247" s="33"/>
      <c r="H247" s="33"/>
      <c r="I247" s="33"/>
      <c r="J247" s="33"/>
      <c r="L247" s="33"/>
      <c r="M247" s="33"/>
      <c r="N247" s="33"/>
      <c r="O247" s="33"/>
    </row>
    <row r="248" spans="5:15" ht="16.5">
      <c r="E248" s="33"/>
      <c r="F248" s="34"/>
      <c r="G248" s="33"/>
      <c r="H248" s="33"/>
      <c r="I248" s="33"/>
      <c r="J248" s="33"/>
      <c r="L248" s="33"/>
      <c r="M248" s="33"/>
      <c r="N248" s="33"/>
      <c r="O248" s="33"/>
    </row>
    <row r="249" spans="5:15" ht="16.5">
      <c r="E249" s="33"/>
      <c r="F249" s="34"/>
      <c r="G249" s="33"/>
      <c r="H249" s="33"/>
      <c r="I249" s="33"/>
      <c r="J249" s="33"/>
      <c r="L249" s="33"/>
      <c r="M249" s="33"/>
      <c r="N249" s="33"/>
      <c r="O249" s="33"/>
    </row>
    <row r="250" spans="5:15" ht="16.5">
      <c r="E250" s="33"/>
      <c r="F250" s="34"/>
      <c r="G250" s="33"/>
      <c r="H250" s="33"/>
      <c r="I250" s="33"/>
      <c r="J250" s="33"/>
      <c r="L250" s="33"/>
      <c r="M250" s="33"/>
      <c r="N250" s="33"/>
      <c r="O250" s="33"/>
    </row>
    <row r="251" spans="5:15" ht="16.5">
      <c r="E251" s="33"/>
      <c r="F251" s="34"/>
      <c r="G251" s="33"/>
      <c r="H251" s="33"/>
      <c r="I251" s="33"/>
      <c r="J251" s="33"/>
      <c r="L251" s="33"/>
      <c r="M251" s="33"/>
      <c r="N251" s="33"/>
      <c r="O251" s="33"/>
    </row>
    <row r="252" spans="5:15" ht="16.5">
      <c r="E252" s="33"/>
      <c r="F252" s="34"/>
      <c r="G252" s="33"/>
      <c r="H252" s="33"/>
      <c r="I252" s="33"/>
      <c r="J252" s="33"/>
      <c r="L252" s="33"/>
      <c r="M252" s="33"/>
      <c r="N252" s="33"/>
      <c r="O252" s="33"/>
    </row>
    <row r="253" spans="5:15" ht="16.5">
      <c r="E253" s="33"/>
      <c r="F253" s="34"/>
      <c r="G253" s="33"/>
      <c r="H253" s="33"/>
      <c r="I253" s="33"/>
      <c r="J253" s="33"/>
      <c r="L253" s="33"/>
      <c r="M253" s="33"/>
      <c r="N253" s="33"/>
      <c r="O253" s="33"/>
    </row>
    <row r="254" spans="5:15" ht="16.5">
      <c r="E254" s="33"/>
      <c r="F254" s="34"/>
      <c r="G254" s="33"/>
      <c r="H254" s="33"/>
      <c r="I254" s="33"/>
      <c r="J254" s="33"/>
      <c r="L254" s="33"/>
      <c r="M254" s="33"/>
      <c r="N254" s="33"/>
      <c r="O254" s="33"/>
    </row>
    <row r="255" spans="5:15" ht="16.5">
      <c r="E255" s="33"/>
      <c r="F255" s="34"/>
      <c r="G255" s="33"/>
      <c r="H255" s="33"/>
      <c r="I255" s="33"/>
      <c r="J255" s="33"/>
      <c r="L255" s="33"/>
      <c r="M255" s="33"/>
      <c r="N255" s="33"/>
      <c r="O255" s="33"/>
    </row>
    <row r="256" spans="5:15" ht="16.5">
      <c r="E256" s="33"/>
      <c r="F256" s="34"/>
      <c r="G256" s="33"/>
      <c r="H256" s="33"/>
      <c r="I256" s="33"/>
      <c r="J256" s="33"/>
      <c r="L256" s="33"/>
      <c r="M256" s="33"/>
      <c r="N256" s="33"/>
      <c r="O256" s="33"/>
    </row>
    <row r="257" spans="5:15" ht="16.5">
      <c r="E257" s="33"/>
      <c r="F257" s="34"/>
      <c r="G257" s="33"/>
      <c r="H257" s="33"/>
      <c r="I257" s="33"/>
      <c r="J257" s="33"/>
      <c r="L257" s="33"/>
      <c r="M257" s="33"/>
      <c r="N257" s="33"/>
      <c r="O257" s="33"/>
    </row>
    <row r="258" spans="5:15" ht="16.5">
      <c r="E258" s="33"/>
      <c r="F258" s="34"/>
      <c r="G258" s="33"/>
      <c r="H258" s="33"/>
      <c r="I258" s="33"/>
      <c r="J258" s="33"/>
      <c r="L258" s="33"/>
      <c r="M258" s="33"/>
      <c r="N258" s="33"/>
      <c r="O258" s="33"/>
    </row>
    <row r="259" spans="5:15" ht="16.5">
      <c r="E259" s="33"/>
      <c r="F259" s="34"/>
      <c r="G259" s="33"/>
      <c r="H259" s="33"/>
      <c r="I259" s="33"/>
      <c r="J259" s="33"/>
      <c r="L259" s="33"/>
      <c r="M259" s="33"/>
      <c r="N259" s="33"/>
      <c r="O259" s="33"/>
    </row>
    <row r="260" spans="5:15" ht="16.5">
      <c r="E260" s="33"/>
      <c r="F260" s="34"/>
      <c r="G260" s="33"/>
      <c r="H260" s="33"/>
      <c r="I260" s="33"/>
      <c r="J260" s="33"/>
      <c r="L260" s="33"/>
      <c r="M260" s="33"/>
      <c r="N260" s="33"/>
      <c r="O260" s="33"/>
    </row>
    <row r="261" spans="5:15" ht="16.5">
      <c r="E261" s="33"/>
      <c r="F261" s="34"/>
      <c r="G261" s="33"/>
      <c r="H261" s="33"/>
      <c r="I261" s="33"/>
      <c r="J261" s="33"/>
      <c r="L261" s="33"/>
      <c r="M261" s="33"/>
      <c r="N261" s="33"/>
      <c r="O261" s="33"/>
    </row>
    <row r="262" spans="5:15" ht="16.5">
      <c r="E262" s="33"/>
      <c r="F262" s="34"/>
      <c r="G262" s="33"/>
      <c r="H262" s="33"/>
      <c r="I262" s="33"/>
      <c r="J262" s="33"/>
      <c r="L262" s="33"/>
      <c r="M262" s="33"/>
      <c r="N262" s="33"/>
      <c r="O262" s="33"/>
    </row>
    <row r="263" spans="5:15" ht="16.5">
      <c r="E263" s="33"/>
      <c r="F263" s="34"/>
      <c r="G263" s="33"/>
      <c r="H263" s="33"/>
      <c r="I263" s="33"/>
      <c r="J263" s="33"/>
      <c r="L263" s="33"/>
      <c r="M263" s="33"/>
      <c r="N263" s="33"/>
      <c r="O263" s="33"/>
    </row>
    <row r="264" spans="5:15" ht="16.5">
      <c r="E264" s="33"/>
      <c r="F264" s="34"/>
      <c r="G264" s="33"/>
      <c r="H264" s="33"/>
      <c r="I264" s="33"/>
      <c r="J264" s="33"/>
      <c r="L264" s="33"/>
      <c r="M264" s="33"/>
      <c r="N264" s="33"/>
      <c r="O264" s="33"/>
    </row>
    <row r="265" spans="5:15" ht="16.5">
      <c r="E265" s="33"/>
      <c r="F265" s="34"/>
      <c r="G265" s="33"/>
      <c r="H265" s="33"/>
      <c r="I265" s="33"/>
      <c r="J265" s="33"/>
      <c r="L265" s="33"/>
      <c r="M265" s="33"/>
      <c r="N265" s="33"/>
      <c r="O265" s="33"/>
    </row>
    <row r="266" spans="5:15" ht="16.5">
      <c r="E266" s="33"/>
      <c r="F266" s="34"/>
      <c r="G266" s="33"/>
      <c r="H266" s="33"/>
      <c r="I266" s="33"/>
      <c r="J266" s="33"/>
      <c r="L266" s="33"/>
      <c r="M266" s="33"/>
      <c r="N266" s="33"/>
      <c r="O266" s="33"/>
    </row>
    <row r="267" spans="5:15" ht="16.5">
      <c r="E267" s="33"/>
      <c r="F267" s="34"/>
      <c r="G267" s="33"/>
      <c r="H267" s="33"/>
      <c r="I267" s="33"/>
      <c r="J267" s="33"/>
      <c r="L267" s="33"/>
      <c r="M267" s="33"/>
      <c r="N267" s="33"/>
      <c r="O267" s="33"/>
    </row>
    <row r="268" spans="5:15" ht="16.5">
      <c r="E268" s="33"/>
      <c r="F268" s="34"/>
      <c r="G268" s="33"/>
      <c r="H268" s="33"/>
      <c r="I268" s="33"/>
      <c r="J268" s="33"/>
      <c r="L268" s="33"/>
      <c r="M268" s="33"/>
      <c r="N268" s="33"/>
      <c r="O268" s="33"/>
    </row>
    <row r="269" spans="5:15" ht="16.5">
      <c r="E269" s="33"/>
      <c r="F269" s="34"/>
      <c r="G269" s="33"/>
      <c r="H269" s="33"/>
      <c r="I269" s="33"/>
      <c r="J269" s="33"/>
      <c r="L269" s="33"/>
      <c r="M269" s="33"/>
      <c r="N269" s="33"/>
      <c r="O269" s="33"/>
    </row>
    <row r="270" spans="5:15" ht="16.5">
      <c r="E270" s="33"/>
      <c r="F270" s="34"/>
      <c r="G270" s="33"/>
      <c r="H270" s="33"/>
      <c r="I270" s="33"/>
      <c r="J270" s="33"/>
      <c r="L270" s="33"/>
      <c r="M270" s="33"/>
      <c r="N270" s="33"/>
      <c r="O270" s="33"/>
    </row>
    <row r="271" spans="5:15" ht="16.5">
      <c r="E271" s="33"/>
      <c r="F271" s="34"/>
      <c r="G271" s="33"/>
      <c r="H271" s="33"/>
      <c r="I271" s="33"/>
      <c r="J271" s="33"/>
      <c r="L271" s="33"/>
      <c r="M271" s="33"/>
      <c r="N271" s="33"/>
      <c r="O271" s="33"/>
    </row>
    <row r="272" spans="5:15" ht="16.5">
      <c r="E272" s="33"/>
      <c r="F272" s="34"/>
      <c r="G272" s="33"/>
      <c r="H272" s="33"/>
      <c r="I272" s="33"/>
      <c r="J272" s="33"/>
      <c r="L272" s="33"/>
      <c r="M272" s="33"/>
      <c r="N272" s="33"/>
      <c r="O272" s="33"/>
    </row>
    <row r="273" spans="5:15" ht="16.5">
      <c r="E273" s="33"/>
      <c r="F273" s="34"/>
      <c r="G273" s="33"/>
      <c r="H273" s="33"/>
      <c r="I273" s="33"/>
      <c r="J273" s="33"/>
      <c r="L273" s="33"/>
      <c r="M273" s="33"/>
      <c r="N273" s="33"/>
      <c r="O273" s="33"/>
    </row>
    <row r="274" spans="5:15" ht="16.5">
      <c r="E274" s="33"/>
      <c r="F274" s="34"/>
      <c r="G274" s="33"/>
      <c r="H274" s="33"/>
      <c r="I274" s="33"/>
      <c r="J274" s="33"/>
      <c r="L274" s="33"/>
      <c r="M274" s="33"/>
      <c r="N274" s="33"/>
      <c r="O274" s="33"/>
    </row>
    <row r="275" spans="5:15" ht="16.5">
      <c r="E275" s="33"/>
      <c r="F275" s="34"/>
      <c r="G275" s="33"/>
      <c r="H275" s="33"/>
      <c r="I275" s="33"/>
      <c r="J275" s="33"/>
      <c r="L275" s="33"/>
      <c r="M275" s="33"/>
      <c r="N275" s="33"/>
      <c r="O275" s="33"/>
    </row>
    <row r="276" spans="5:15" ht="16.5">
      <c r="E276" s="33"/>
      <c r="F276" s="34"/>
      <c r="G276" s="33"/>
      <c r="H276" s="33"/>
      <c r="I276" s="33"/>
      <c r="J276" s="33"/>
      <c r="L276" s="33"/>
      <c r="M276" s="33"/>
      <c r="N276" s="33"/>
      <c r="O276" s="33"/>
    </row>
    <row r="277" spans="5:15" ht="16.5">
      <c r="E277" s="33"/>
      <c r="F277" s="34"/>
      <c r="G277" s="33"/>
      <c r="H277" s="33"/>
      <c r="I277" s="33"/>
      <c r="J277" s="33"/>
      <c r="L277" s="33"/>
      <c r="M277" s="33"/>
      <c r="N277" s="33"/>
      <c r="O277" s="33"/>
    </row>
    <row r="278" spans="5:15" ht="16.5">
      <c r="E278" s="33"/>
      <c r="F278" s="34"/>
      <c r="G278" s="33"/>
      <c r="H278" s="33"/>
      <c r="I278" s="33"/>
      <c r="J278" s="33"/>
      <c r="L278" s="33"/>
      <c r="M278" s="33"/>
      <c r="N278" s="33"/>
      <c r="O278" s="33"/>
    </row>
    <row r="279" spans="5:15" ht="16.5">
      <c r="E279" s="33"/>
      <c r="F279" s="34"/>
      <c r="G279" s="33"/>
      <c r="H279" s="33"/>
      <c r="I279" s="33"/>
      <c r="J279" s="33"/>
      <c r="L279" s="33"/>
      <c r="M279" s="33"/>
      <c r="N279" s="33"/>
      <c r="O279" s="33"/>
    </row>
    <row r="280" spans="5:15" ht="16.5">
      <c r="E280" s="33"/>
      <c r="F280" s="34"/>
      <c r="G280" s="33"/>
      <c r="H280" s="33"/>
      <c r="I280" s="33"/>
      <c r="J280" s="33"/>
      <c r="L280" s="33"/>
      <c r="M280" s="33"/>
      <c r="N280" s="33"/>
      <c r="O280" s="33"/>
    </row>
    <row r="281" spans="5:15" ht="16.5">
      <c r="E281" s="33"/>
      <c r="F281" s="34"/>
      <c r="G281" s="33"/>
      <c r="H281" s="33"/>
      <c r="I281" s="33"/>
      <c r="J281" s="33"/>
      <c r="L281" s="33"/>
      <c r="M281" s="33"/>
      <c r="N281" s="33"/>
      <c r="O281" s="33"/>
    </row>
    <row r="282" spans="5:15" ht="16.5">
      <c r="E282" s="33"/>
      <c r="F282" s="34"/>
      <c r="G282" s="33"/>
      <c r="H282" s="33"/>
      <c r="I282" s="33"/>
      <c r="J282" s="33"/>
      <c r="L282" s="33"/>
      <c r="M282" s="33"/>
      <c r="N282" s="33"/>
      <c r="O282" s="33"/>
    </row>
    <row r="283" spans="5:15" ht="16.5">
      <c r="E283" s="33"/>
      <c r="F283" s="34"/>
      <c r="G283" s="33"/>
      <c r="H283" s="33"/>
      <c r="I283" s="33"/>
      <c r="J283" s="33"/>
      <c r="L283" s="33"/>
      <c r="M283" s="33"/>
      <c r="N283" s="33"/>
      <c r="O283" s="33"/>
    </row>
    <row r="284" spans="5:15" ht="16.5">
      <c r="E284" s="33"/>
      <c r="F284" s="34"/>
      <c r="G284" s="33"/>
      <c r="H284" s="33"/>
      <c r="I284" s="33"/>
      <c r="J284" s="33"/>
      <c r="L284" s="33"/>
      <c r="M284" s="33"/>
      <c r="N284" s="33"/>
      <c r="O284" s="33"/>
    </row>
    <row r="285" spans="5:15" ht="16.5">
      <c r="E285" s="33"/>
      <c r="F285" s="34"/>
      <c r="G285" s="33"/>
      <c r="H285" s="33"/>
      <c r="I285" s="33"/>
      <c r="J285" s="33"/>
      <c r="L285" s="33"/>
      <c r="M285" s="33"/>
      <c r="N285" s="33"/>
      <c r="O285" s="33"/>
    </row>
    <row r="286" spans="5:15" ht="16.5">
      <c r="E286" s="33"/>
      <c r="F286" s="34"/>
      <c r="G286" s="33"/>
      <c r="H286" s="33"/>
      <c r="I286" s="33"/>
      <c r="J286" s="33"/>
      <c r="L286" s="33"/>
      <c r="M286" s="33"/>
      <c r="N286" s="33"/>
      <c r="O286" s="33"/>
    </row>
    <row r="287" spans="5:15" ht="16.5">
      <c r="E287" s="33"/>
      <c r="F287" s="34"/>
      <c r="G287" s="33"/>
      <c r="H287" s="33"/>
      <c r="I287" s="33"/>
      <c r="J287" s="33"/>
      <c r="L287" s="33"/>
      <c r="M287" s="33"/>
      <c r="N287" s="33"/>
      <c r="O287" s="33"/>
    </row>
    <row r="288" spans="5:15" ht="16.5">
      <c r="E288" s="33"/>
      <c r="F288" s="34"/>
      <c r="G288" s="33"/>
      <c r="H288" s="33"/>
      <c r="I288" s="33"/>
      <c r="J288" s="33"/>
      <c r="L288" s="33"/>
      <c r="M288" s="33"/>
      <c r="N288" s="33"/>
      <c r="O288" s="33"/>
    </row>
    <row r="289" spans="5:15" ht="16.5">
      <c r="E289" s="33"/>
      <c r="F289" s="34"/>
      <c r="G289" s="33"/>
      <c r="H289" s="33"/>
      <c r="I289" s="33"/>
      <c r="J289" s="33"/>
      <c r="L289" s="33"/>
      <c r="M289" s="33"/>
      <c r="N289" s="33"/>
      <c r="O289" s="33"/>
    </row>
    <row r="290" spans="5:15" ht="16.5">
      <c r="E290" s="33"/>
      <c r="F290" s="34"/>
      <c r="G290" s="33"/>
      <c r="H290" s="33"/>
      <c r="I290" s="33"/>
      <c r="J290" s="33"/>
      <c r="L290" s="33"/>
      <c r="M290" s="33"/>
      <c r="N290" s="33"/>
      <c r="O290" s="33"/>
    </row>
    <row r="291" spans="5:15" ht="16.5">
      <c r="E291" s="33"/>
      <c r="F291" s="34"/>
      <c r="G291" s="33"/>
      <c r="H291" s="33"/>
      <c r="I291" s="33"/>
      <c r="J291" s="33"/>
      <c r="L291" s="33"/>
      <c r="M291" s="33"/>
      <c r="N291" s="33"/>
      <c r="O291" s="33"/>
    </row>
    <row r="292" spans="5:15" ht="16.5">
      <c r="E292" s="33"/>
      <c r="F292" s="34"/>
      <c r="G292" s="33"/>
      <c r="H292" s="33"/>
      <c r="I292" s="33"/>
      <c r="J292" s="33"/>
      <c r="L292" s="33"/>
      <c r="M292" s="33"/>
      <c r="N292" s="33"/>
      <c r="O292" s="33"/>
    </row>
    <row r="293" spans="5:15" ht="16.5">
      <c r="E293" s="33"/>
      <c r="F293" s="34"/>
      <c r="G293" s="33"/>
      <c r="H293" s="33"/>
      <c r="I293" s="33"/>
      <c r="J293" s="33"/>
      <c r="L293" s="33"/>
      <c r="M293" s="33"/>
      <c r="N293" s="33"/>
      <c r="O293" s="33"/>
    </row>
    <row r="294" spans="5:15" ht="16.5">
      <c r="E294" s="33"/>
      <c r="F294" s="34"/>
      <c r="G294" s="33"/>
      <c r="H294" s="33"/>
      <c r="I294" s="33"/>
      <c r="J294" s="33"/>
      <c r="L294" s="33"/>
      <c r="M294" s="33"/>
      <c r="N294" s="33"/>
      <c r="O294" s="33"/>
    </row>
    <row r="295" spans="5:15" ht="16.5">
      <c r="E295" s="33"/>
      <c r="F295" s="34"/>
      <c r="G295" s="33"/>
      <c r="H295" s="33"/>
      <c r="I295" s="33"/>
      <c r="J295" s="33"/>
      <c r="L295" s="33"/>
      <c r="M295" s="33"/>
      <c r="N295" s="33"/>
      <c r="O295" s="33"/>
    </row>
    <row r="296" spans="5:15" ht="16.5">
      <c r="E296" s="33"/>
      <c r="F296" s="34"/>
      <c r="G296" s="33"/>
      <c r="H296" s="33"/>
      <c r="I296" s="33"/>
      <c r="J296" s="33"/>
      <c r="L296" s="33"/>
      <c r="M296" s="33"/>
      <c r="N296" s="33"/>
      <c r="O296" s="33"/>
    </row>
    <row r="297" spans="5:15" ht="16.5">
      <c r="E297" s="33"/>
      <c r="F297" s="34"/>
      <c r="G297" s="33"/>
      <c r="H297" s="33"/>
      <c r="I297" s="33"/>
      <c r="J297" s="33"/>
      <c r="L297" s="33"/>
      <c r="M297" s="33"/>
      <c r="N297" s="33"/>
      <c r="O297" s="33"/>
    </row>
    <row r="298" spans="5:15" ht="16.5">
      <c r="E298" s="33"/>
      <c r="F298" s="34"/>
      <c r="G298" s="33"/>
      <c r="H298" s="33"/>
      <c r="I298" s="33"/>
      <c r="J298" s="33"/>
      <c r="L298" s="33"/>
      <c r="M298" s="33"/>
      <c r="N298" s="33"/>
      <c r="O298" s="33"/>
    </row>
    <row r="299" spans="5:15" ht="16.5">
      <c r="E299" s="33"/>
      <c r="F299" s="34"/>
      <c r="G299" s="33"/>
      <c r="H299" s="33"/>
      <c r="I299" s="33"/>
      <c r="J299" s="33"/>
      <c r="L299" s="33"/>
      <c r="M299" s="33"/>
      <c r="N299" s="33"/>
      <c r="O299" s="33"/>
    </row>
    <row r="300" spans="5:15" ht="16.5">
      <c r="E300" s="33"/>
      <c r="F300" s="34"/>
      <c r="G300" s="33"/>
      <c r="H300" s="33"/>
      <c r="I300" s="33"/>
      <c r="J300" s="33"/>
      <c r="L300" s="33"/>
      <c r="M300" s="33"/>
      <c r="N300" s="33"/>
      <c r="O300" s="33"/>
    </row>
    <row r="301" spans="5:15" ht="16.5">
      <c r="E301" s="33"/>
      <c r="F301" s="34"/>
      <c r="G301" s="33"/>
      <c r="H301" s="33"/>
      <c r="I301" s="33"/>
      <c r="J301" s="33"/>
      <c r="L301" s="33"/>
      <c r="M301" s="33"/>
      <c r="N301" s="33"/>
      <c r="O301" s="33"/>
    </row>
    <row r="302" spans="5:15" ht="16.5">
      <c r="E302" s="33"/>
      <c r="F302" s="34"/>
      <c r="G302" s="33"/>
      <c r="H302" s="33"/>
      <c r="I302" s="33"/>
      <c r="J302" s="33"/>
      <c r="L302" s="33"/>
      <c r="M302" s="33"/>
      <c r="N302" s="33"/>
      <c r="O302" s="33"/>
    </row>
    <row r="303" spans="5:15" ht="16.5">
      <c r="E303" s="33"/>
      <c r="F303" s="34"/>
      <c r="G303" s="33"/>
      <c r="H303" s="33"/>
      <c r="I303" s="33"/>
      <c r="J303" s="33"/>
      <c r="L303" s="33"/>
      <c r="M303" s="33"/>
      <c r="N303" s="33"/>
      <c r="O303" s="33"/>
    </row>
    <row r="304" spans="5:15" ht="16.5">
      <c r="E304" s="33"/>
      <c r="F304" s="34"/>
      <c r="G304" s="33"/>
      <c r="H304" s="33"/>
      <c r="I304" s="33"/>
      <c r="J304" s="33"/>
      <c r="L304" s="33"/>
      <c r="M304" s="33"/>
      <c r="N304" s="33"/>
      <c r="O304" s="33"/>
    </row>
    <row r="305" spans="5:15" ht="16.5">
      <c r="E305" s="33"/>
      <c r="F305" s="34"/>
      <c r="G305" s="33"/>
      <c r="H305" s="33"/>
      <c r="I305" s="33"/>
      <c r="J305" s="33"/>
      <c r="L305" s="33"/>
      <c r="M305" s="33"/>
      <c r="N305" s="33"/>
      <c r="O305" s="33"/>
    </row>
    <row r="306" spans="5:15" ht="16.5">
      <c r="E306" s="33"/>
      <c r="F306" s="34"/>
      <c r="G306" s="33"/>
      <c r="H306" s="33"/>
      <c r="I306" s="33"/>
      <c r="J306" s="33"/>
      <c r="L306" s="33"/>
      <c r="M306" s="33"/>
      <c r="N306" s="33"/>
      <c r="O306" s="33"/>
    </row>
    <row r="307" spans="5:15" ht="16.5">
      <c r="E307" s="33"/>
      <c r="F307" s="34"/>
      <c r="G307" s="33"/>
      <c r="H307" s="33"/>
      <c r="I307" s="33"/>
      <c r="J307" s="33"/>
      <c r="L307" s="33"/>
      <c r="M307" s="33"/>
      <c r="N307" s="33"/>
      <c r="O307" s="33"/>
    </row>
    <row r="308" spans="5:15" ht="16.5">
      <c r="E308" s="33"/>
      <c r="F308" s="34"/>
      <c r="G308" s="33"/>
      <c r="H308" s="33"/>
      <c r="I308" s="33"/>
      <c r="J308" s="33"/>
      <c r="L308" s="33"/>
      <c r="M308" s="33"/>
      <c r="N308" s="33"/>
      <c r="O308" s="33"/>
    </row>
    <row r="309" spans="5:15" ht="16.5">
      <c r="E309" s="33"/>
      <c r="F309" s="34"/>
      <c r="G309" s="33"/>
      <c r="H309" s="33"/>
      <c r="I309" s="33"/>
      <c r="J309" s="33"/>
      <c r="L309" s="33"/>
      <c r="M309" s="33"/>
      <c r="N309" s="33"/>
      <c r="O309" s="33"/>
    </row>
    <row r="310" spans="5:15" ht="16.5">
      <c r="E310" s="33"/>
      <c r="F310" s="34"/>
      <c r="G310" s="33"/>
      <c r="H310" s="33"/>
      <c r="I310" s="33"/>
      <c r="J310" s="33"/>
      <c r="L310" s="33"/>
      <c r="M310" s="33"/>
      <c r="N310" s="33"/>
      <c r="O310" s="33"/>
    </row>
    <row r="311" spans="5:15" ht="16.5">
      <c r="E311" s="33"/>
      <c r="F311" s="34"/>
      <c r="G311" s="33"/>
      <c r="H311" s="33"/>
      <c r="I311" s="33"/>
      <c r="J311" s="33"/>
      <c r="L311" s="33"/>
      <c r="M311" s="33"/>
      <c r="N311" s="33"/>
      <c r="O311" s="33"/>
    </row>
    <row r="312" spans="5:15" ht="16.5">
      <c r="E312" s="33"/>
      <c r="F312" s="34"/>
      <c r="G312" s="33"/>
      <c r="H312" s="33"/>
      <c r="I312" s="33"/>
      <c r="J312" s="33"/>
      <c r="L312" s="33"/>
      <c r="M312" s="33"/>
      <c r="N312" s="33"/>
      <c r="O312" s="33"/>
    </row>
    <row r="313" spans="5:15" ht="16.5">
      <c r="E313" s="33"/>
      <c r="F313" s="34"/>
      <c r="G313" s="33"/>
      <c r="H313" s="33"/>
      <c r="I313" s="33"/>
      <c r="J313" s="33"/>
      <c r="L313" s="33"/>
      <c r="M313" s="33"/>
      <c r="N313" s="33"/>
      <c r="O313" s="33"/>
    </row>
    <row r="314" spans="5:15" ht="16.5">
      <c r="E314" s="33"/>
      <c r="F314" s="34"/>
      <c r="G314" s="33"/>
      <c r="H314" s="33"/>
      <c r="I314" s="33"/>
      <c r="J314" s="33"/>
      <c r="L314" s="33"/>
      <c r="M314" s="33"/>
      <c r="N314" s="33"/>
      <c r="O314" s="33"/>
    </row>
    <row r="315" spans="5:15" ht="16.5">
      <c r="E315" s="33"/>
      <c r="F315" s="34"/>
      <c r="G315" s="33"/>
      <c r="H315" s="33"/>
      <c r="I315" s="33"/>
      <c r="J315" s="33"/>
      <c r="L315" s="33"/>
      <c r="M315" s="33"/>
      <c r="N315" s="33"/>
      <c r="O315" s="33"/>
    </row>
    <row r="316" spans="5:15" ht="16.5">
      <c r="E316" s="33"/>
      <c r="F316" s="34"/>
      <c r="G316" s="33"/>
      <c r="H316" s="33"/>
      <c r="I316" s="33"/>
      <c r="J316" s="33"/>
      <c r="L316" s="33"/>
      <c r="M316" s="33"/>
      <c r="N316" s="33"/>
      <c r="O316" s="33"/>
    </row>
    <row r="317" spans="5:15" ht="16.5">
      <c r="E317" s="33"/>
      <c r="F317" s="34"/>
      <c r="G317" s="33"/>
      <c r="H317" s="33"/>
      <c r="I317" s="33"/>
      <c r="J317" s="33"/>
      <c r="L317" s="33"/>
      <c r="M317" s="33"/>
      <c r="N317" s="33"/>
      <c r="O317" s="33"/>
    </row>
    <row r="318" spans="5:15" ht="16.5">
      <c r="E318" s="33"/>
      <c r="F318" s="34"/>
      <c r="G318" s="33"/>
      <c r="H318" s="33"/>
      <c r="I318" s="33"/>
      <c r="J318" s="33"/>
      <c r="L318" s="33"/>
      <c r="M318" s="33"/>
      <c r="N318" s="33"/>
      <c r="O318" s="33"/>
    </row>
    <row r="319" spans="5:15" ht="16.5">
      <c r="E319" s="33"/>
      <c r="F319" s="34"/>
      <c r="G319" s="33"/>
      <c r="H319" s="33"/>
      <c r="I319" s="33"/>
      <c r="J319" s="33"/>
      <c r="L319" s="33"/>
      <c r="M319" s="33"/>
      <c r="N319" s="33"/>
      <c r="O319" s="33"/>
    </row>
    <row r="320" spans="5:15" ht="16.5">
      <c r="E320" s="33"/>
      <c r="F320" s="34"/>
      <c r="G320" s="33"/>
      <c r="H320" s="33"/>
      <c r="I320" s="33"/>
      <c r="J320" s="33"/>
      <c r="L320" s="33"/>
      <c r="M320" s="33"/>
      <c r="N320" s="33"/>
      <c r="O320" s="33"/>
    </row>
    <row r="321" spans="5:15" ht="16.5">
      <c r="E321" s="33"/>
      <c r="F321" s="34"/>
      <c r="G321" s="33"/>
      <c r="H321" s="33"/>
      <c r="I321" s="33"/>
      <c r="J321" s="33"/>
      <c r="L321" s="33"/>
      <c r="M321" s="33"/>
      <c r="N321" s="33"/>
      <c r="O321" s="33"/>
    </row>
    <row r="322" spans="5:15" ht="16.5">
      <c r="E322" s="33"/>
      <c r="F322" s="34"/>
      <c r="G322" s="33"/>
      <c r="H322" s="33"/>
      <c r="I322" s="33"/>
      <c r="J322" s="33"/>
      <c r="L322" s="33"/>
      <c r="M322" s="33"/>
      <c r="N322" s="33"/>
      <c r="O322" s="33"/>
    </row>
    <row r="323" spans="5:15" ht="16.5">
      <c r="E323" s="33"/>
      <c r="F323" s="34"/>
      <c r="G323" s="33"/>
      <c r="H323" s="33"/>
      <c r="I323" s="33"/>
      <c r="J323" s="33"/>
      <c r="L323" s="33"/>
      <c r="M323" s="33"/>
      <c r="N323" s="33"/>
      <c r="O323" s="33"/>
    </row>
    <row r="324" spans="5:15" ht="16.5">
      <c r="E324" s="33"/>
      <c r="F324" s="34"/>
      <c r="G324" s="33"/>
      <c r="H324" s="33"/>
      <c r="I324" s="33"/>
      <c r="J324" s="33"/>
      <c r="L324" s="33"/>
      <c r="M324" s="33"/>
      <c r="N324" s="33"/>
      <c r="O324" s="33"/>
    </row>
    <row r="325" spans="5:15" ht="16.5">
      <c r="E325" s="33"/>
      <c r="F325" s="34"/>
      <c r="G325" s="33"/>
      <c r="H325" s="33"/>
      <c r="I325" s="33"/>
      <c r="J325" s="33"/>
      <c r="L325" s="33"/>
      <c r="M325" s="33"/>
      <c r="N325" s="33"/>
      <c r="O325" s="33"/>
    </row>
    <row r="326" spans="5:15" ht="16.5">
      <c r="E326" s="33"/>
      <c r="F326" s="34"/>
      <c r="G326" s="33"/>
      <c r="H326" s="33"/>
      <c r="I326" s="33"/>
      <c r="J326" s="33"/>
      <c r="L326" s="33"/>
      <c r="M326" s="33"/>
      <c r="N326" s="33"/>
      <c r="O326" s="33"/>
    </row>
    <row r="327" spans="5:15" ht="16.5">
      <c r="E327" s="33"/>
      <c r="F327" s="34"/>
      <c r="G327" s="33"/>
      <c r="H327" s="33"/>
      <c r="I327" s="33"/>
      <c r="J327" s="33"/>
      <c r="L327" s="33"/>
      <c r="M327" s="33"/>
      <c r="N327" s="33"/>
      <c r="O327" s="33"/>
    </row>
    <row r="328" spans="5:15" ht="16.5">
      <c r="E328" s="33"/>
      <c r="F328" s="34"/>
      <c r="G328" s="33"/>
      <c r="H328" s="33"/>
      <c r="I328" s="33"/>
      <c r="J328" s="33"/>
      <c r="L328" s="33"/>
      <c r="M328" s="33"/>
      <c r="N328" s="33"/>
      <c r="O328" s="33"/>
    </row>
    <row r="329" spans="5:15" ht="16.5">
      <c r="E329" s="33"/>
      <c r="F329" s="34"/>
      <c r="G329" s="33"/>
      <c r="H329" s="33"/>
      <c r="I329" s="33"/>
      <c r="J329" s="33"/>
      <c r="L329" s="33"/>
      <c r="M329" s="33"/>
      <c r="N329" s="33"/>
      <c r="O329" s="33"/>
    </row>
    <row r="330" spans="5:15" ht="16.5">
      <c r="E330" s="33"/>
      <c r="F330" s="34"/>
      <c r="G330" s="33"/>
      <c r="H330" s="33"/>
      <c r="I330" s="33"/>
      <c r="J330" s="33"/>
      <c r="L330" s="33"/>
      <c r="M330" s="33"/>
      <c r="N330" s="33"/>
      <c r="O330" s="33"/>
    </row>
    <row r="331" spans="5:15" ht="16.5">
      <c r="E331" s="33"/>
      <c r="F331" s="34"/>
      <c r="G331" s="33"/>
      <c r="H331" s="33"/>
      <c r="I331" s="33"/>
      <c r="J331" s="33"/>
      <c r="L331" s="33"/>
      <c r="M331" s="33"/>
      <c r="N331" s="33"/>
      <c r="O331" s="33"/>
    </row>
    <row r="332" spans="5:15" ht="16.5">
      <c r="E332" s="33"/>
      <c r="F332" s="34"/>
      <c r="G332" s="33"/>
      <c r="H332" s="33"/>
      <c r="I332" s="33"/>
      <c r="J332" s="33"/>
      <c r="L332" s="33"/>
      <c r="M332" s="33"/>
      <c r="N332" s="33"/>
      <c r="O332" s="33"/>
    </row>
    <row r="333" spans="5:15" ht="16.5">
      <c r="E333" s="33"/>
      <c r="F333" s="34"/>
      <c r="G333" s="33"/>
      <c r="H333" s="33"/>
      <c r="I333" s="33"/>
      <c r="J333" s="33"/>
      <c r="L333" s="33"/>
      <c r="M333" s="33"/>
      <c r="N333" s="33"/>
      <c r="O333" s="33"/>
    </row>
    <row r="334" spans="5:15" ht="16.5">
      <c r="E334" s="33"/>
      <c r="F334" s="34"/>
      <c r="G334" s="33"/>
      <c r="H334" s="33"/>
      <c r="I334" s="33"/>
      <c r="J334" s="33"/>
      <c r="L334" s="33"/>
      <c r="M334" s="33"/>
      <c r="N334" s="33"/>
      <c r="O334" s="33"/>
    </row>
    <row r="335" spans="5:15" ht="16.5">
      <c r="E335" s="33"/>
      <c r="F335" s="34"/>
      <c r="G335" s="33"/>
      <c r="H335" s="33"/>
      <c r="I335" s="33"/>
      <c r="J335" s="33"/>
      <c r="L335" s="33"/>
      <c r="M335" s="33"/>
      <c r="N335" s="33"/>
      <c r="O335" s="33"/>
    </row>
    <row r="336" spans="5:15" ht="16.5">
      <c r="E336" s="33"/>
      <c r="F336" s="34"/>
      <c r="G336" s="33"/>
      <c r="H336" s="33"/>
      <c r="I336" s="33"/>
      <c r="J336" s="33"/>
      <c r="L336" s="33"/>
      <c r="M336" s="33"/>
      <c r="N336" s="33"/>
      <c r="O336" s="33"/>
    </row>
    <row r="337" spans="5:15" ht="16.5">
      <c r="E337" s="33"/>
      <c r="F337" s="34"/>
      <c r="G337" s="33"/>
      <c r="H337" s="33"/>
      <c r="I337" s="33"/>
      <c r="J337" s="33"/>
      <c r="L337" s="33"/>
      <c r="M337" s="33"/>
      <c r="N337" s="33"/>
      <c r="O337" s="33"/>
    </row>
    <row r="338" spans="5:15" ht="16.5">
      <c r="E338" s="33"/>
      <c r="F338" s="34"/>
      <c r="G338" s="33"/>
      <c r="H338" s="33"/>
      <c r="I338" s="33"/>
      <c r="J338" s="33"/>
      <c r="L338" s="33"/>
      <c r="M338" s="33"/>
      <c r="N338" s="33"/>
      <c r="O338" s="33"/>
    </row>
    <row r="339" spans="5:15" ht="16.5">
      <c r="E339" s="33"/>
      <c r="F339" s="34"/>
      <c r="G339" s="33"/>
      <c r="H339" s="33"/>
      <c r="I339" s="33"/>
      <c r="J339" s="33"/>
      <c r="L339" s="33"/>
      <c r="M339" s="33"/>
      <c r="N339" s="33"/>
      <c r="O339" s="33"/>
    </row>
    <row r="340" spans="5:15" ht="16.5">
      <c r="E340" s="33"/>
      <c r="F340" s="34"/>
      <c r="G340" s="33"/>
      <c r="H340" s="33"/>
      <c r="I340" s="33"/>
      <c r="J340" s="33"/>
      <c r="L340" s="33"/>
      <c r="M340" s="33"/>
      <c r="N340" s="33"/>
      <c r="O340" s="33"/>
    </row>
    <row r="341" spans="5:15" ht="16.5">
      <c r="E341" s="33"/>
      <c r="F341" s="34"/>
      <c r="G341" s="33"/>
      <c r="H341" s="33"/>
      <c r="I341" s="33"/>
      <c r="J341" s="33"/>
      <c r="L341" s="33"/>
      <c r="M341" s="33"/>
      <c r="N341" s="33"/>
      <c r="O341" s="33"/>
    </row>
    <row r="342" spans="5:15" ht="16.5">
      <c r="E342" s="33"/>
      <c r="F342" s="34"/>
      <c r="G342" s="33"/>
      <c r="H342" s="33"/>
      <c r="I342" s="33"/>
      <c r="J342" s="33"/>
      <c r="L342" s="33"/>
      <c r="M342" s="33"/>
      <c r="N342" s="33"/>
      <c r="O342" s="33"/>
    </row>
    <row r="343" spans="5:15" ht="16.5">
      <c r="E343" s="33"/>
      <c r="F343" s="34"/>
      <c r="G343" s="33"/>
      <c r="H343" s="33"/>
      <c r="I343" s="33"/>
      <c r="J343" s="33"/>
      <c r="L343" s="33"/>
      <c r="M343" s="33"/>
      <c r="N343" s="33"/>
      <c r="O343" s="33"/>
    </row>
    <row r="344" spans="5:15" ht="16.5">
      <c r="E344" s="33"/>
      <c r="F344" s="34"/>
      <c r="G344" s="33"/>
      <c r="H344" s="33"/>
      <c r="I344" s="33"/>
      <c r="J344" s="33"/>
      <c r="L344" s="33"/>
      <c r="M344" s="33"/>
      <c r="N344" s="33"/>
      <c r="O344" s="33"/>
    </row>
    <row r="345" spans="5:15" ht="16.5">
      <c r="E345" s="33"/>
      <c r="F345" s="34"/>
      <c r="G345" s="33"/>
      <c r="H345" s="33"/>
      <c r="I345" s="33"/>
      <c r="J345" s="33"/>
      <c r="L345" s="33"/>
      <c r="M345" s="33"/>
      <c r="N345" s="33"/>
      <c r="O345" s="33"/>
    </row>
    <row r="346" spans="5:15" ht="16.5">
      <c r="E346" s="33"/>
      <c r="F346" s="34"/>
      <c r="G346" s="33"/>
      <c r="H346" s="33"/>
      <c r="I346" s="33"/>
      <c r="J346" s="33"/>
      <c r="L346" s="33"/>
      <c r="M346" s="33"/>
      <c r="N346" s="33"/>
      <c r="O346" s="33"/>
    </row>
    <row r="347" spans="5:15" ht="16.5">
      <c r="E347" s="33"/>
      <c r="F347" s="34"/>
      <c r="G347" s="33"/>
      <c r="H347" s="33"/>
      <c r="I347" s="33"/>
      <c r="J347" s="33"/>
      <c r="L347" s="33"/>
      <c r="M347" s="33"/>
      <c r="N347" s="33"/>
      <c r="O347" s="33"/>
    </row>
    <row r="348" spans="5:15" ht="16.5">
      <c r="E348" s="33"/>
      <c r="F348" s="34"/>
      <c r="G348" s="33"/>
      <c r="H348" s="33"/>
      <c r="I348" s="33"/>
      <c r="J348" s="33"/>
      <c r="L348" s="33"/>
      <c r="M348" s="33"/>
      <c r="N348" s="33"/>
      <c r="O348" s="33"/>
    </row>
    <row r="349" spans="5:15" ht="16.5">
      <c r="E349" s="33"/>
      <c r="F349" s="34"/>
      <c r="G349" s="33"/>
      <c r="H349" s="33"/>
      <c r="I349" s="33"/>
      <c r="J349" s="33"/>
      <c r="L349" s="33"/>
      <c r="M349" s="33"/>
      <c r="N349" s="33"/>
      <c r="O349" s="33"/>
    </row>
    <row r="350" spans="5:15" ht="16.5">
      <c r="E350" s="33"/>
      <c r="F350" s="34"/>
      <c r="G350" s="33"/>
      <c r="H350" s="33"/>
      <c r="I350" s="33"/>
      <c r="J350" s="33"/>
      <c r="L350" s="33"/>
      <c r="M350" s="33"/>
      <c r="N350" s="33"/>
      <c r="O350" s="33"/>
    </row>
    <row r="351" spans="5:15" ht="16.5">
      <c r="E351" s="33"/>
      <c r="F351" s="34"/>
      <c r="G351" s="33"/>
      <c r="H351" s="33"/>
      <c r="I351" s="33"/>
      <c r="J351" s="33"/>
      <c r="L351" s="33"/>
      <c r="M351" s="33"/>
      <c r="N351" s="33"/>
      <c r="O351" s="33"/>
    </row>
    <row r="352" spans="5:15" ht="16.5">
      <c r="E352" s="33"/>
      <c r="F352" s="34"/>
      <c r="G352" s="33"/>
      <c r="H352" s="33"/>
      <c r="I352" s="33"/>
      <c r="J352" s="33"/>
      <c r="L352" s="33"/>
      <c r="M352" s="33"/>
      <c r="N352" s="33"/>
      <c r="O352" s="33"/>
    </row>
    <row r="353" spans="5:15" ht="16.5">
      <c r="E353" s="33"/>
      <c r="F353" s="34"/>
      <c r="G353" s="33"/>
      <c r="H353" s="33"/>
      <c r="I353" s="33"/>
      <c r="J353" s="33"/>
      <c r="L353" s="33"/>
      <c r="M353" s="33"/>
      <c r="N353" s="33"/>
      <c r="O353" s="33"/>
    </row>
    <row r="354" spans="5:15" ht="16.5">
      <c r="E354" s="33"/>
      <c r="F354" s="34"/>
      <c r="G354" s="33"/>
      <c r="H354" s="33"/>
      <c r="I354" s="33"/>
      <c r="J354" s="33"/>
      <c r="L354" s="33"/>
      <c r="M354" s="33"/>
      <c r="N354" s="33"/>
      <c r="O354" s="33"/>
    </row>
    <row r="355" spans="5:15" ht="16.5">
      <c r="E355" s="33"/>
      <c r="F355" s="34"/>
      <c r="G355" s="33"/>
      <c r="H355" s="33"/>
      <c r="I355" s="33"/>
      <c r="J355" s="33"/>
      <c r="L355" s="33"/>
      <c r="M355" s="33"/>
      <c r="N355" s="33"/>
      <c r="O355" s="33"/>
    </row>
    <row r="356" spans="5:15" ht="16.5">
      <c r="E356" s="33"/>
      <c r="F356" s="34"/>
      <c r="G356" s="33"/>
      <c r="H356" s="33"/>
      <c r="I356" s="33"/>
      <c r="J356" s="33"/>
      <c r="L356" s="33"/>
      <c r="M356" s="33"/>
      <c r="N356" s="33"/>
      <c r="O356" s="33"/>
    </row>
    <row r="357" spans="5:15" ht="16.5">
      <c r="E357" s="33"/>
      <c r="F357" s="34"/>
      <c r="G357" s="33"/>
      <c r="H357" s="33"/>
      <c r="I357" s="33"/>
      <c r="J357" s="33"/>
      <c r="L357" s="33"/>
      <c r="M357" s="33"/>
      <c r="N357" s="33"/>
      <c r="O357" s="33"/>
    </row>
    <row r="358" spans="5:15" ht="16.5">
      <c r="E358" s="33"/>
      <c r="F358" s="34"/>
      <c r="G358" s="33"/>
      <c r="H358" s="33"/>
      <c r="I358" s="33"/>
      <c r="J358" s="33"/>
      <c r="L358" s="33"/>
      <c r="M358" s="33"/>
      <c r="N358" s="33"/>
      <c r="O358" s="33"/>
    </row>
    <row r="359" spans="5:15" ht="16.5">
      <c r="E359" s="33"/>
      <c r="F359" s="34"/>
      <c r="G359" s="33"/>
      <c r="H359" s="33"/>
      <c r="I359" s="33"/>
      <c r="J359" s="33"/>
      <c r="L359" s="33"/>
      <c r="M359" s="33"/>
      <c r="N359" s="33"/>
      <c r="O359" s="33"/>
    </row>
    <row r="360" spans="5:15" ht="16.5">
      <c r="E360" s="33"/>
      <c r="F360" s="34"/>
      <c r="G360" s="33"/>
      <c r="H360" s="33"/>
      <c r="I360" s="33"/>
      <c r="J360" s="33"/>
      <c r="L360" s="33"/>
      <c r="M360" s="33"/>
      <c r="N360" s="33"/>
      <c r="O360" s="33"/>
    </row>
    <row r="361" spans="5:15" ht="16.5">
      <c r="E361" s="33"/>
      <c r="F361" s="34"/>
      <c r="G361" s="33"/>
      <c r="H361" s="33"/>
      <c r="I361" s="33"/>
      <c r="J361" s="33"/>
      <c r="L361" s="33"/>
      <c r="M361" s="33"/>
      <c r="N361" s="33"/>
      <c r="O361" s="33"/>
    </row>
    <row r="362" spans="5:15" ht="16.5">
      <c r="E362" s="33"/>
      <c r="F362" s="34"/>
      <c r="G362" s="33"/>
      <c r="H362" s="33"/>
      <c r="I362" s="33"/>
      <c r="J362" s="33"/>
      <c r="L362" s="33"/>
      <c r="M362" s="33"/>
      <c r="N362" s="33"/>
      <c r="O362" s="33"/>
    </row>
    <row r="363" spans="5:15" ht="16.5">
      <c r="E363" s="33"/>
      <c r="F363" s="34"/>
      <c r="G363" s="33"/>
      <c r="H363" s="33"/>
      <c r="I363" s="33"/>
      <c r="J363" s="33"/>
      <c r="L363" s="33"/>
      <c r="M363" s="33"/>
      <c r="N363" s="33"/>
      <c r="O363" s="33"/>
    </row>
    <row r="364" spans="5:15" ht="16.5">
      <c r="E364" s="33"/>
      <c r="F364" s="34"/>
      <c r="G364" s="33"/>
      <c r="H364" s="33"/>
      <c r="I364" s="33"/>
      <c r="J364" s="33"/>
      <c r="L364" s="33"/>
      <c r="M364" s="33"/>
      <c r="N364" s="33"/>
      <c r="O364" s="33"/>
    </row>
    <row r="365" spans="5:15" ht="16.5">
      <c r="E365" s="33"/>
      <c r="F365" s="34"/>
      <c r="G365" s="33"/>
      <c r="H365" s="33"/>
      <c r="I365" s="33"/>
      <c r="J365" s="33"/>
      <c r="L365" s="33"/>
      <c r="M365" s="33"/>
      <c r="N365" s="33"/>
      <c r="O365" s="33"/>
    </row>
    <row r="366" spans="5:15" ht="16.5">
      <c r="E366" s="33"/>
      <c r="F366" s="34"/>
      <c r="G366" s="33"/>
      <c r="H366" s="33"/>
      <c r="I366" s="33"/>
      <c r="J366" s="33"/>
      <c r="L366" s="33"/>
      <c r="M366" s="33"/>
      <c r="N366" s="33"/>
      <c r="O366" s="33"/>
    </row>
    <row r="367" spans="5:15" ht="16.5">
      <c r="E367" s="33"/>
      <c r="F367" s="34"/>
      <c r="G367" s="33"/>
      <c r="H367" s="33"/>
      <c r="I367" s="33"/>
      <c r="J367" s="33"/>
      <c r="L367" s="33"/>
      <c r="M367" s="33"/>
      <c r="N367" s="33"/>
      <c r="O367" s="33"/>
    </row>
    <row r="368" spans="5:15" ht="16.5">
      <c r="E368" s="33"/>
      <c r="F368" s="34"/>
      <c r="G368" s="33"/>
      <c r="H368" s="33"/>
      <c r="I368" s="33"/>
      <c r="J368" s="33"/>
      <c r="L368" s="33"/>
      <c r="M368" s="33"/>
      <c r="N368" s="33"/>
      <c r="O368" s="33"/>
    </row>
    <row r="369" spans="5:15" ht="16.5">
      <c r="E369" s="33"/>
      <c r="F369" s="34"/>
      <c r="G369" s="33"/>
      <c r="H369" s="33"/>
      <c r="I369" s="33"/>
      <c r="J369" s="33"/>
      <c r="L369" s="33"/>
      <c r="M369" s="33"/>
      <c r="N369" s="33"/>
      <c r="O369" s="33"/>
    </row>
    <row r="370" spans="5:15" ht="16.5">
      <c r="E370" s="33"/>
      <c r="F370" s="34"/>
      <c r="G370" s="33"/>
      <c r="H370" s="33"/>
      <c r="I370" s="33"/>
      <c r="J370" s="33"/>
      <c r="L370" s="33"/>
      <c r="M370" s="33"/>
      <c r="N370" s="33"/>
      <c r="O370" s="33"/>
    </row>
    <row r="371" spans="5:15" ht="16.5">
      <c r="E371" s="33"/>
      <c r="F371" s="34"/>
      <c r="G371" s="33"/>
      <c r="H371" s="33"/>
      <c r="I371" s="33"/>
      <c r="J371" s="33"/>
      <c r="L371" s="33"/>
      <c r="M371" s="33"/>
      <c r="N371" s="33"/>
      <c r="O371" s="33"/>
    </row>
    <row r="372" spans="5:15" ht="16.5">
      <c r="E372" s="33"/>
      <c r="F372" s="34"/>
      <c r="G372" s="33"/>
      <c r="H372" s="33"/>
      <c r="I372" s="33"/>
      <c r="J372" s="33"/>
      <c r="L372" s="33"/>
      <c r="M372" s="33"/>
      <c r="N372" s="33"/>
      <c r="O372" s="33"/>
    </row>
    <row r="373" spans="5:15" ht="16.5">
      <c r="E373" s="33"/>
      <c r="F373" s="34"/>
      <c r="G373" s="33"/>
      <c r="H373" s="33"/>
      <c r="I373" s="33"/>
      <c r="J373" s="33"/>
      <c r="L373" s="33"/>
      <c r="M373" s="33"/>
      <c r="N373" s="33"/>
      <c r="O373" s="33"/>
    </row>
    <row r="374" spans="5:15" ht="16.5">
      <c r="E374" s="33"/>
      <c r="F374" s="34"/>
      <c r="G374" s="33"/>
      <c r="H374" s="33"/>
      <c r="I374" s="33"/>
      <c r="J374" s="33"/>
      <c r="L374" s="33"/>
      <c r="M374" s="33"/>
      <c r="N374" s="33"/>
      <c r="O374" s="33"/>
    </row>
  </sheetData>
  <mergeCells count="34">
    <mergeCell ref="AD38:AH38"/>
    <mergeCell ref="A34:C34"/>
    <mergeCell ref="A35:C35"/>
    <mergeCell ref="A38:E38"/>
    <mergeCell ref="T38:X38"/>
    <mergeCell ref="Y38:AC38"/>
    <mergeCell ref="F38:J38"/>
    <mergeCell ref="T37:AC37"/>
    <mergeCell ref="K38:P38"/>
    <mergeCell ref="P34:Q34"/>
    <mergeCell ref="A30:C30"/>
    <mergeCell ref="P35:Q35"/>
    <mergeCell ref="A32:C32"/>
    <mergeCell ref="A33:C33"/>
    <mergeCell ref="A13:C13"/>
    <mergeCell ref="A14:C14"/>
    <mergeCell ref="A20:C20"/>
    <mergeCell ref="A21:C21"/>
    <mergeCell ref="A15:C15"/>
    <mergeCell ref="A17:C17"/>
    <mergeCell ref="A29:C29"/>
    <mergeCell ref="A26:C26"/>
    <mergeCell ref="A27:C27"/>
    <mergeCell ref="A25:C25"/>
    <mergeCell ref="A22:C22"/>
    <mergeCell ref="A23:C23"/>
    <mergeCell ref="A24:C24"/>
    <mergeCell ref="H19:J20"/>
    <mergeCell ref="A9:C9"/>
    <mergeCell ref="A10:C10"/>
    <mergeCell ref="A5:C5"/>
    <mergeCell ref="A6:C6"/>
    <mergeCell ref="A7:C7"/>
    <mergeCell ref="A8:C8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r:id="rId5"/>
  <headerFooter alignWithMargins="0">
    <oddFooter>&amp;L&amp;8MNW file &amp;F, sheet&amp;A&amp;C&amp;8&amp;P&amp;R&amp;8printed at &amp;T on &amp;D</oddFooter>
  </headerFooter>
  <drawing r:id="rId4"/>
  <legacyDrawing r:id="rId3"/>
  <oleObjects>
    <oleObject progId="Mathcad" shapeId="26015516" r:id="rId1"/>
    <oleObject progId="Equation.3" shapeId="2601551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/>
  <dimension ref="A1:CF374"/>
  <sheetViews>
    <sheetView workbookViewId="0" topLeftCell="F15">
      <selection activeCell="T22" sqref="T22:AA24"/>
    </sheetView>
  </sheetViews>
  <sheetFormatPr defaultColWidth="9.140625" defaultRowHeight="12.75"/>
  <cols>
    <col min="1" max="1" width="5.7109375" style="2" customWidth="1"/>
    <col min="2" max="2" width="7.421875" style="2" customWidth="1"/>
    <col min="3" max="3" width="6.8515625" style="11" customWidth="1"/>
    <col min="4" max="4" width="6.7109375" style="5" customWidth="1"/>
    <col min="5" max="5" width="9.28125" style="3" customWidth="1"/>
    <col min="6" max="6" width="6.57421875" style="5" customWidth="1"/>
    <col min="7" max="7" width="8.140625" style="2" customWidth="1"/>
    <col min="8" max="8" width="7.00390625" style="2" customWidth="1"/>
    <col min="9" max="9" width="6.8515625" style="2" customWidth="1"/>
    <col min="10" max="10" width="8.28125" style="2" customWidth="1"/>
    <col min="11" max="11" width="6.7109375" style="11" customWidth="1"/>
    <col min="12" max="12" width="7.7109375" style="2" customWidth="1"/>
    <col min="13" max="13" width="7.28125" style="2" customWidth="1"/>
    <col min="14" max="14" width="7.8515625" style="2" customWidth="1"/>
    <col min="15" max="15" width="7.140625" style="2" customWidth="1"/>
    <col min="16" max="16" width="7.00390625" style="4" customWidth="1"/>
    <col min="17" max="17" width="7.7109375" style="18" customWidth="1"/>
    <col min="18" max="18" width="6.8515625" style="30" customWidth="1"/>
    <col min="19" max="19" width="2.140625" style="30" customWidth="1"/>
    <col min="20" max="27" width="8.7109375" style="30" customWidth="1"/>
    <col min="28" max="28" width="7.7109375" style="30" customWidth="1"/>
    <col min="29" max="29" width="7.140625" style="0" customWidth="1"/>
    <col min="30" max="33" width="5.8515625" style="0" customWidth="1"/>
    <col min="34" max="75" width="8.7109375" style="0" customWidth="1"/>
    <col min="76" max="16384" width="8.7109375" style="2" customWidth="1"/>
  </cols>
  <sheetData>
    <row r="1" spans="1:16" ht="16.5">
      <c r="A1" s="5" t="s">
        <v>205</v>
      </c>
      <c r="C1" s="14"/>
      <c r="D1" s="1"/>
      <c r="E1" s="1"/>
      <c r="F1" s="1"/>
      <c r="G1" s="17"/>
      <c r="H1" s="5"/>
      <c r="I1" s="19"/>
      <c r="J1" s="163" t="s">
        <v>199</v>
      </c>
      <c r="K1" s="14">
        <f>E29</f>
        <v>3.9995581103872464</v>
      </c>
      <c r="L1" s="1" t="s">
        <v>200</v>
      </c>
      <c r="M1" s="164" t="s">
        <v>201</v>
      </c>
      <c r="N1" s="14">
        <f>E35</f>
        <v>1</v>
      </c>
      <c r="O1" s="1" t="s">
        <v>52</v>
      </c>
      <c r="P1" s="2"/>
    </row>
    <row r="2" spans="1:16" ht="21.75" customHeight="1">
      <c r="A2" s="5" t="s">
        <v>195</v>
      </c>
      <c r="C2" s="14"/>
      <c r="D2" s="1"/>
      <c r="E2" s="1"/>
      <c r="F2" s="1"/>
      <c r="G2" s="17"/>
      <c r="H2" s="5"/>
      <c r="I2" s="19"/>
      <c r="K2" s="123"/>
      <c r="L2" s="5"/>
      <c r="M2" s="5"/>
      <c r="P2" s="2"/>
    </row>
    <row r="3" spans="1:10" ht="16.5">
      <c r="A3" s="5" t="s">
        <v>198</v>
      </c>
      <c r="I3" s="10"/>
      <c r="J3" s="10" t="s">
        <v>111</v>
      </c>
    </row>
    <row r="4" spans="1:9" ht="15" customHeight="1">
      <c r="A4" s="5" t="s">
        <v>196</v>
      </c>
      <c r="H4" s="5"/>
      <c r="I4" s="10"/>
    </row>
    <row r="5" spans="1:10" ht="24" customHeight="1">
      <c r="A5" s="181" t="s">
        <v>0</v>
      </c>
      <c r="B5" s="182"/>
      <c r="C5" s="182"/>
      <c r="D5" s="5" t="s">
        <v>140</v>
      </c>
      <c r="E5" s="3">
        <f>0.00973/2</f>
        <v>0.004865</v>
      </c>
      <c r="F5" s="5" t="s">
        <v>7</v>
      </c>
      <c r="J5" s="10" t="s">
        <v>112</v>
      </c>
    </row>
    <row r="6" spans="1:12" ht="16.5">
      <c r="A6" s="181" t="s">
        <v>1</v>
      </c>
      <c r="B6" s="182"/>
      <c r="C6" s="182"/>
      <c r="D6" s="5" t="s">
        <v>3</v>
      </c>
      <c r="E6" s="3">
        <f>0.001166/2</f>
        <v>0.000583</v>
      </c>
      <c r="F6" s="5" t="s">
        <v>7</v>
      </c>
      <c r="H6" s="5"/>
      <c r="I6" s="10"/>
      <c r="L6" s="2" t="s">
        <v>16</v>
      </c>
    </row>
    <row r="7" spans="1:6" ht="16.5">
      <c r="A7" s="181" t="s">
        <v>2</v>
      </c>
      <c r="B7" s="182"/>
      <c r="C7" s="182"/>
      <c r="D7" s="5" t="s">
        <v>4</v>
      </c>
      <c r="E7" s="3">
        <v>0.074</v>
      </c>
      <c r="F7" s="5" t="s">
        <v>7</v>
      </c>
    </row>
    <row r="8" spans="1:10" ht="16.5" customHeight="1">
      <c r="A8" s="181" t="s">
        <v>5</v>
      </c>
      <c r="B8" s="182"/>
      <c r="C8" s="182"/>
      <c r="D8" s="5" t="s">
        <v>6</v>
      </c>
      <c r="E8" s="3">
        <v>0.0625</v>
      </c>
      <c r="F8" s="2" t="s">
        <v>8</v>
      </c>
      <c r="H8" s="48"/>
      <c r="I8" s="36"/>
      <c r="J8" s="10" t="s">
        <v>113</v>
      </c>
    </row>
    <row r="9" spans="1:9" ht="16.5">
      <c r="A9" s="181" t="s">
        <v>11</v>
      </c>
      <c r="B9" s="182"/>
      <c r="C9" s="182"/>
      <c r="D9" s="5" t="s">
        <v>12</v>
      </c>
      <c r="E9" s="3">
        <v>6.4E-05</v>
      </c>
      <c r="F9" s="2" t="s">
        <v>8</v>
      </c>
      <c r="H9" s="49"/>
      <c r="I9" s="36"/>
    </row>
    <row r="10" spans="1:8" ht="16.5">
      <c r="A10" s="181" t="s">
        <v>9</v>
      </c>
      <c r="B10" s="182"/>
      <c r="C10" s="182"/>
      <c r="D10" s="5" t="s">
        <v>10</v>
      </c>
      <c r="E10" s="18">
        <v>30</v>
      </c>
      <c r="H10" s="5" t="s">
        <v>114</v>
      </c>
    </row>
    <row r="11" spans="1:8" ht="18">
      <c r="A11" s="5" t="s">
        <v>191</v>
      </c>
      <c r="B11" s="6"/>
      <c r="C11" s="6"/>
      <c r="D11" s="5" t="s">
        <v>192</v>
      </c>
      <c r="E11" s="139">
        <v>0.324</v>
      </c>
      <c r="F11" s="5" t="s">
        <v>197</v>
      </c>
      <c r="H11" s="5"/>
    </row>
    <row r="12" spans="1:12" ht="18">
      <c r="A12" s="5" t="s">
        <v>193</v>
      </c>
      <c r="B12" s="6"/>
      <c r="C12" s="6"/>
      <c r="D12" s="5" t="s">
        <v>194</v>
      </c>
      <c r="E12" s="139">
        <v>0.2455</v>
      </c>
      <c r="H12" s="5" t="s">
        <v>135</v>
      </c>
      <c r="L12" s="8"/>
    </row>
    <row r="13" spans="1:8" ht="18">
      <c r="A13" s="181" t="s">
        <v>203</v>
      </c>
      <c r="B13" s="182"/>
      <c r="C13" s="182"/>
      <c r="D13" s="7" t="s">
        <v>204</v>
      </c>
      <c r="E13" s="3">
        <f>4*PI()*10^-7</f>
        <v>1.2566370614359173E-06</v>
      </c>
      <c r="F13" s="5" t="s">
        <v>14</v>
      </c>
      <c r="H13" s="22"/>
    </row>
    <row r="14" spans="1:8" ht="16.5">
      <c r="A14" s="181" t="s">
        <v>17</v>
      </c>
      <c r="B14" s="182"/>
      <c r="C14" s="182"/>
      <c r="D14" s="7" t="s">
        <v>58</v>
      </c>
      <c r="E14" s="4">
        <v>0.826</v>
      </c>
      <c r="H14" s="22"/>
    </row>
    <row r="15" spans="1:8" ht="16.5">
      <c r="A15" s="181" t="s">
        <v>18</v>
      </c>
      <c r="B15" s="182"/>
      <c r="C15" s="182"/>
      <c r="D15" s="7" t="s">
        <v>19</v>
      </c>
      <c r="E15" s="4">
        <v>0.872</v>
      </c>
      <c r="H15" s="5" t="s">
        <v>115</v>
      </c>
    </row>
    <row r="16" spans="1:5" ht="16.5">
      <c r="A16" s="5" t="s">
        <v>69</v>
      </c>
      <c r="B16" s="6"/>
      <c r="C16" s="6"/>
      <c r="D16" s="5" t="s">
        <v>70</v>
      </c>
      <c r="E16" s="4">
        <v>2.24</v>
      </c>
    </row>
    <row r="17" spans="1:8" ht="16.5">
      <c r="A17" s="181" t="s">
        <v>20</v>
      </c>
      <c r="B17" s="182"/>
      <c r="C17" s="182"/>
      <c r="D17" s="7" t="s">
        <v>59</v>
      </c>
      <c r="E17" s="4">
        <f>1/(1+E16)</f>
        <v>0.30864197530864196</v>
      </c>
      <c r="H17" s="5" t="s">
        <v>136</v>
      </c>
    </row>
    <row r="18" spans="1:75" ht="18.75">
      <c r="A18" s="5" t="s">
        <v>122</v>
      </c>
      <c r="B18" s="36"/>
      <c r="C18" s="36"/>
      <c r="D18" s="25" t="s">
        <v>124</v>
      </c>
      <c r="E18" s="3">
        <v>1.24E-10</v>
      </c>
      <c r="F18" s="5" t="s">
        <v>13</v>
      </c>
      <c r="L18" s="47"/>
      <c r="N18" s="4"/>
      <c r="P18" s="30"/>
      <c r="Q18" s="40"/>
      <c r="AA18"/>
      <c r="AB18"/>
      <c r="BV18" s="2"/>
      <c r="BW18" s="2"/>
    </row>
    <row r="19" spans="1:75" ht="18.75">
      <c r="A19" s="5" t="s">
        <v>123</v>
      </c>
      <c r="B19" s="36"/>
      <c r="C19" s="36"/>
      <c r="D19" s="25" t="s">
        <v>125</v>
      </c>
      <c r="E19" s="3">
        <v>9E-11</v>
      </c>
      <c r="F19" s="5" t="s">
        <v>121</v>
      </c>
      <c r="H19" s="183" t="s">
        <v>92</v>
      </c>
      <c r="I19" s="184"/>
      <c r="J19" s="185"/>
      <c r="L19" s="47"/>
      <c r="N19" s="4"/>
      <c r="P19" s="30"/>
      <c r="Q19" s="40"/>
      <c r="AA19"/>
      <c r="AB19"/>
      <c r="BV19" s="2"/>
      <c r="BW19" s="2"/>
    </row>
    <row r="20" spans="1:76" ht="18.75">
      <c r="A20" s="181" t="s">
        <v>45</v>
      </c>
      <c r="B20" s="182"/>
      <c r="C20" s="182"/>
      <c r="D20" s="9" t="s">
        <v>126</v>
      </c>
      <c r="E20" s="3">
        <v>0.004</v>
      </c>
      <c r="F20" s="2" t="s">
        <v>7</v>
      </c>
      <c r="H20" s="184"/>
      <c r="I20" s="184"/>
      <c r="J20" s="185"/>
      <c r="K20" s="32"/>
      <c r="L20" s="11"/>
      <c r="M20" s="5"/>
      <c r="O20" s="103" t="s">
        <v>160</v>
      </c>
      <c r="P20" s="103" t="s">
        <v>161</v>
      </c>
      <c r="Q20" s="104" t="s">
        <v>163</v>
      </c>
      <c r="R20" s="117" t="s">
        <v>169</v>
      </c>
      <c r="AC20" s="30"/>
      <c r="BX20"/>
    </row>
    <row r="21" spans="1:76" ht="18.75">
      <c r="A21" s="181" t="s">
        <v>34</v>
      </c>
      <c r="B21" s="182"/>
      <c r="C21" s="182"/>
      <c r="D21" s="9" t="s">
        <v>127</v>
      </c>
      <c r="E21" s="3">
        <v>6.02E-06</v>
      </c>
      <c r="F21" s="5" t="s">
        <v>7</v>
      </c>
      <c r="K21" s="2"/>
      <c r="L21" s="123"/>
      <c r="O21" s="105" t="s">
        <v>159</v>
      </c>
      <c r="P21" s="105" t="s">
        <v>159</v>
      </c>
      <c r="Q21" s="106" t="s">
        <v>164</v>
      </c>
      <c r="R21" s="118" t="s">
        <v>170</v>
      </c>
      <c r="AC21" s="30"/>
      <c r="BX21"/>
    </row>
    <row r="22" spans="1:78" ht="31.5" customHeight="1">
      <c r="A22" s="181" t="s">
        <v>137</v>
      </c>
      <c r="B22" s="182"/>
      <c r="C22" s="182"/>
      <c r="D22" s="9" t="s">
        <v>60</v>
      </c>
      <c r="E22" s="3">
        <v>35000000000</v>
      </c>
      <c r="F22" s="5" t="s">
        <v>40</v>
      </c>
      <c r="G22" s="3"/>
      <c r="H22" s="5" t="s">
        <v>43</v>
      </c>
      <c r="K22" s="2"/>
      <c r="L22" s="11"/>
      <c r="O22" s="113" t="s">
        <v>162</v>
      </c>
      <c r="P22" s="113" t="s">
        <v>162</v>
      </c>
      <c r="Q22" s="114" t="s">
        <v>85</v>
      </c>
      <c r="R22" s="119" t="s">
        <v>171</v>
      </c>
      <c r="S22" s="2"/>
      <c r="T22" s="175" t="s">
        <v>202</v>
      </c>
      <c r="U22" s="175" t="s">
        <v>168</v>
      </c>
      <c r="V22" s="176" t="s">
        <v>165</v>
      </c>
      <c r="W22" s="175" t="s">
        <v>166</v>
      </c>
      <c r="X22" s="177" t="s">
        <v>167</v>
      </c>
      <c r="Y22" s="175" t="s">
        <v>177</v>
      </c>
      <c r="Z22" s="178" t="s">
        <v>214</v>
      </c>
      <c r="AA22" s="178" t="s">
        <v>215</v>
      </c>
      <c r="AC22" s="30"/>
      <c r="AD22" s="30"/>
      <c r="AE22" s="30"/>
      <c r="BX22"/>
      <c r="BY22"/>
      <c r="BZ22"/>
    </row>
    <row r="23" spans="1:78" ht="18.75">
      <c r="A23" s="181" t="s">
        <v>137</v>
      </c>
      <c r="B23" s="182"/>
      <c r="C23" s="182"/>
      <c r="D23" s="9" t="s">
        <v>61</v>
      </c>
      <c r="E23" s="4">
        <v>0.148519435587142</v>
      </c>
      <c r="F23" s="5" t="s">
        <v>21</v>
      </c>
      <c r="H23" s="2" t="s">
        <v>44</v>
      </c>
      <c r="I23" s="2" t="s">
        <v>62</v>
      </c>
      <c r="J23" s="2" t="s">
        <v>63</v>
      </c>
      <c r="K23" s="2"/>
      <c r="L23" s="11"/>
      <c r="M23" s="108"/>
      <c r="N23" s="109" t="s">
        <v>202</v>
      </c>
      <c r="O23" s="132">
        <f>K109*4*J28</f>
        <v>0.012883812717275917</v>
      </c>
      <c r="P23" s="105"/>
      <c r="Q23" s="106">
        <f aca="true" t="shared" si="0" ref="Q23:Q30">O23*2*E$34</f>
        <v>0.10305911529218248</v>
      </c>
      <c r="R23" s="115">
        <f aca="true" t="shared" si="1" ref="R23:R28">Q23/Q$30</f>
        <v>0.00231084326954657</v>
      </c>
      <c r="S23" s="2"/>
      <c r="T23" s="11">
        <f>Q23</f>
        <v>0.10305911529218248</v>
      </c>
      <c r="U23" s="180">
        <f>Q24</f>
        <v>5.344896463925658</v>
      </c>
      <c r="V23" s="180">
        <f>Q25</f>
        <v>0.07791215696209815</v>
      </c>
      <c r="W23" s="180">
        <f>Q26</f>
        <v>5.29854043520168</v>
      </c>
      <c r="X23" s="180">
        <f>Q27</f>
        <v>31.094677360753057</v>
      </c>
      <c r="Y23" s="180">
        <f>Q28</f>
        <v>2.6789694940742548</v>
      </c>
      <c r="Z23" s="180">
        <f>'Sum''ry'!D24</f>
        <v>5.27502277914826</v>
      </c>
      <c r="AA23" s="180">
        <f>SUM(T23:Z23)</f>
        <v>49.873077805357184</v>
      </c>
      <c r="AC23" s="30"/>
      <c r="AD23" s="30"/>
      <c r="AE23" s="30"/>
      <c r="BX23"/>
      <c r="BY23"/>
      <c r="BZ23"/>
    </row>
    <row r="24" spans="1:77" ht="18.75">
      <c r="A24" s="181" t="s">
        <v>137</v>
      </c>
      <c r="B24" s="182"/>
      <c r="C24" s="182"/>
      <c r="D24" s="9" t="s">
        <v>64</v>
      </c>
      <c r="E24" s="3">
        <v>5000000000</v>
      </c>
      <c r="F24" s="5" t="s">
        <v>40</v>
      </c>
      <c r="H24" s="2">
        <v>1</v>
      </c>
      <c r="I24" s="15">
        <v>0</v>
      </c>
      <c r="J24" s="15">
        <v>15.673373548625944</v>
      </c>
      <c r="K24" s="15"/>
      <c r="L24" s="11"/>
      <c r="M24" s="78"/>
      <c r="N24" s="110" t="s">
        <v>168</v>
      </c>
      <c r="O24" s="132">
        <f>L109*4*J28</f>
        <v>0.6681858740899945</v>
      </c>
      <c r="P24" s="105"/>
      <c r="Q24" s="106">
        <f t="shared" si="0"/>
        <v>5.344896463925658</v>
      </c>
      <c r="R24" s="115">
        <f t="shared" si="1"/>
        <v>0.11984595428622669</v>
      </c>
      <c r="S24" s="2"/>
      <c r="T24" s="29">
        <f>T23/$AA23</f>
        <v>0.0020664278169155274</v>
      </c>
      <c r="U24" s="29">
        <f aca="true" t="shared" si="2" ref="U24:AA24">U23/$AA23</f>
        <v>0.10716997424513329</v>
      </c>
      <c r="V24" s="29">
        <f t="shared" si="2"/>
        <v>0.0015622087184226096</v>
      </c>
      <c r="W24" s="29">
        <f t="shared" si="2"/>
        <v>0.1062404942378056</v>
      </c>
      <c r="X24" s="29">
        <f t="shared" si="2"/>
        <v>0.6234762065840055</v>
      </c>
      <c r="Y24" s="29">
        <f t="shared" si="2"/>
        <v>0.05371574428451435</v>
      </c>
      <c r="Z24" s="29">
        <f t="shared" si="2"/>
        <v>0.10576894411320321</v>
      </c>
      <c r="AA24" s="29">
        <f t="shared" si="2"/>
        <v>1</v>
      </c>
      <c r="AC24" s="30"/>
      <c r="AD24" s="30"/>
      <c r="AE24" s="30"/>
      <c r="BX24"/>
      <c r="BY24"/>
    </row>
    <row r="25" spans="1:77" ht="18.75">
      <c r="A25" s="181" t="s">
        <v>137</v>
      </c>
      <c r="B25" s="182"/>
      <c r="C25" s="182"/>
      <c r="D25" s="9" t="s">
        <v>65</v>
      </c>
      <c r="E25" s="3">
        <v>-700000000</v>
      </c>
      <c r="F25" s="5" t="s">
        <v>47</v>
      </c>
      <c r="H25" s="2">
        <v>2</v>
      </c>
      <c r="I25" s="15">
        <v>17.081863443783423</v>
      </c>
      <c r="J25" s="15">
        <v>36.23820889210402</v>
      </c>
      <c r="K25" s="15"/>
      <c r="L25" s="11"/>
      <c r="M25" s="78"/>
      <c r="N25" s="111" t="s">
        <v>165</v>
      </c>
      <c r="O25" s="132">
        <f>M109*4*J28</f>
        <v>0.009740095632034025</v>
      </c>
      <c r="P25" s="107"/>
      <c r="Q25" s="106">
        <f t="shared" si="0"/>
        <v>0.07791215696209815</v>
      </c>
      <c r="R25" s="115">
        <f t="shared" si="1"/>
        <v>0.001746985533703466</v>
      </c>
      <c r="S25" s="2"/>
      <c r="T25"/>
      <c r="AC25" s="30"/>
      <c r="AD25" s="30"/>
      <c r="AE25" s="30"/>
      <c r="BX25"/>
      <c r="BY25"/>
    </row>
    <row r="26" spans="1:77" ht="18.75">
      <c r="A26" s="181" t="s">
        <v>39</v>
      </c>
      <c r="B26" s="182"/>
      <c r="C26" s="182"/>
      <c r="D26" s="9" t="s">
        <v>138</v>
      </c>
      <c r="E26" s="3">
        <v>32000000000</v>
      </c>
      <c r="F26" s="5" t="s">
        <v>40</v>
      </c>
      <c r="H26" s="2">
        <v>3</v>
      </c>
      <c r="I26" s="15">
        <v>41.284249216564326</v>
      </c>
      <c r="J26" s="15">
        <v>55.21613681534294</v>
      </c>
      <c r="K26" s="15"/>
      <c r="L26" s="11"/>
      <c r="M26" s="112"/>
      <c r="N26" s="110" t="s">
        <v>166</v>
      </c>
      <c r="O26" s="132">
        <f>N109*4*J28</f>
        <v>0.6623907302960356</v>
      </c>
      <c r="P26" s="105"/>
      <c r="Q26" s="106">
        <f t="shared" si="0"/>
        <v>5.29854043520168</v>
      </c>
      <c r="R26" s="115">
        <f t="shared" si="1"/>
        <v>0.11880653611660615</v>
      </c>
      <c r="S26" s="2"/>
      <c r="T26"/>
      <c r="AC26" s="30"/>
      <c r="AD26" s="30"/>
      <c r="AE26" s="30"/>
      <c r="BX26"/>
      <c r="BY26"/>
    </row>
    <row r="27" spans="1:77" ht="18.75">
      <c r="A27" s="181" t="s">
        <v>39</v>
      </c>
      <c r="B27" s="182"/>
      <c r="C27" s="182"/>
      <c r="D27" s="9" t="s">
        <v>139</v>
      </c>
      <c r="E27" s="2">
        <v>0.5</v>
      </c>
      <c r="F27" s="5" t="s">
        <v>21</v>
      </c>
      <c r="H27" s="2">
        <v>4</v>
      </c>
      <c r="I27" s="15">
        <v>66.20526072708387</v>
      </c>
      <c r="J27" s="15">
        <v>73.17120452647318</v>
      </c>
      <c r="K27" s="15"/>
      <c r="L27" s="11"/>
      <c r="M27" s="129"/>
      <c r="N27" s="50" t="s">
        <v>167</v>
      </c>
      <c r="O27" s="133">
        <f>O109*4*J28</f>
        <v>3.887264105501695</v>
      </c>
      <c r="P27" s="130"/>
      <c r="Q27" s="104">
        <f t="shared" si="0"/>
        <v>31.094677360753057</v>
      </c>
      <c r="R27" s="131">
        <f t="shared" si="1"/>
        <v>0.697220480634854</v>
      </c>
      <c r="S27" s="12"/>
      <c r="T27"/>
      <c r="AC27" s="30"/>
      <c r="AD27" s="30"/>
      <c r="AE27" s="30"/>
      <c r="BX27"/>
      <c r="BY27"/>
    </row>
    <row r="28" spans="1:76" ht="16.5">
      <c r="A28" s="5" t="s">
        <v>93</v>
      </c>
      <c r="B28" s="6"/>
      <c r="C28" s="6"/>
      <c r="D28" s="5" t="s">
        <v>87</v>
      </c>
      <c r="E28" s="18">
        <v>6800</v>
      </c>
      <c r="F28" s="5" t="s">
        <v>91</v>
      </c>
      <c r="I28" s="10" t="s">
        <v>50</v>
      </c>
      <c r="J28" s="15">
        <f>245*2.54*12/100/32/2</f>
        <v>1.1668124999999998</v>
      </c>
      <c r="K28" s="123" t="s">
        <v>49</v>
      </c>
      <c r="L28" s="123"/>
      <c r="M28" s="112"/>
      <c r="N28" s="110" t="s">
        <v>177</v>
      </c>
      <c r="O28" s="132">
        <f>P109*4*J28</f>
        <v>0.334908184871312</v>
      </c>
      <c r="P28" s="125"/>
      <c r="Q28" s="106">
        <f t="shared" si="0"/>
        <v>2.6789694940742548</v>
      </c>
      <c r="R28" s="115">
        <f t="shared" si="1"/>
        <v>0.060069200159063106</v>
      </c>
      <c r="S28" s="12"/>
      <c r="T28"/>
      <c r="AC28" s="30"/>
      <c r="AD28" s="30"/>
      <c r="AE28" s="30"/>
      <c r="BX28"/>
    </row>
    <row r="29" spans="1:76" ht="16.5">
      <c r="A29" s="181" t="s">
        <v>94</v>
      </c>
      <c r="B29" s="182"/>
      <c r="C29" s="182"/>
      <c r="D29" s="5" t="s">
        <v>88</v>
      </c>
      <c r="E29" s="4">
        <f>P34*E28+P35*E28^P36</f>
        <v>3.9995581103872464</v>
      </c>
      <c r="F29" s="5" t="s">
        <v>21</v>
      </c>
      <c r="H29" s="5"/>
      <c r="I29" s="10" t="s">
        <v>54</v>
      </c>
      <c r="J29" s="3">
        <v>7.888866402398716E-06</v>
      </c>
      <c r="K29" s="123" t="s">
        <v>35</v>
      </c>
      <c r="L29" s="123"/>
      <c r="M29" s="126"/>
      <c r="N29" s="107" t="s">
        <v>178</v>
      </c>
      <c r="O29" s="132">
        <f>O27+O28</f>
        <v>4.222172290373007</v>
      </c>
      <c r="P29" s="107"/>
      <c r="Q29" s="114">
        <f t="shared" si="0"/>
        <v>33.77364685482731</v>
      </c>
      <c r="R29" s="115">
        <f>Q29/Q30</f>
        <v>0.7572896807939171</v>
      </c>
      <c r="S29" s="12"/>
      <c r="T29"/>
      <c r="AC29" s="30"/>
      <c r="AD29" s="30"/>
      <c r="AE29" s="30"/>
      <c r="BX29"/>
    </row>
    <row r="30" spans="1:76" ht="16.5">
      <c r="A30" s="181" t="s">
        <v>22</v>
      </c>
      <c r="B30" s="182"/>
      <c r="C30" s="182"/>
      <c r="D30" s="5" t="s">
        <v>48</v>
      </c>
      <c r="E30" s="13">
        <v>2.1215</v>
      </c>
      <c r="F30" s="5" t="s">
        <v>21</v>
      </c>
      <c r="H30" s="10"/>
      <c r="I30" s="10" t="s">
        <v>55</v>
      </c>
      <c r="K30" s="123" t="s">
        <v>15</v>
      </c>
      <c r="L30" s="123"/>
      <c r="M30" s="127"/>
      <c r="N30" s="128" t="s">
        <v>179</v>
      </c>
      <c r="O30" s="134">
        <f>SUM(O23:O26)+O29</f>
        <v>5.575372803108348</v>
      </c>
      <c r="P30" s="128"/>
      <c r="Q30" s="135">
        <f t="shared" si="0"/>
        <v>44.59805502620893</v>
      </c>
      <c r="R30" s="136">
        <f>SUM(R23:R26)+R29</f>
        <v>1</v>
      </c>
      <c r="S30" s="4"/>
      <c r="T30"/>
      <c r="AC30" s="30"/>
      <c r="AD30" s="30"/>
      <c r="AE30" s="30"/>
      <c r="BX30"/>
    </row>
    <row r="31" spans="1:76" ht="16.5">
      <c r="A31" s="5" t="s">
        <v>95</v>
      </c>
      <c r="B31" s="6"/>
      <c r="C31" s="6"/>
      <c r="D31" s="5" t="s">
        <v>89</v>
      </c>
      <c r="E31" s="18">
        <v>1</v>
      </c>
      <c r="F31" s="5" t="s">
        <v>91</v>
      </c>
      <c r="H31" s="10"/>
      <c r="I31" s="10" t="s">
        <v>67</v>
      </c>
      <c r="J31" s="15"/>
      <c r="L31" s="15"/>
      <c r="M31" s="5"/>
      <c r="O31" s="10"/>
      <c r="P31" s="16"/>
      <c r="R31" s="4"/>
      <c r="S31"/>
      <c r="AC31" s="30"/>
      <c r="AD31" s="30"/>
      <c r="BX31"/>
    </row>
    <row r="32" spans="1:76" ht="16.5">
      <c r="A32" s="181" t="s">
        <v>96</v>
      </c>
      <c r="B32" s="182"/>
      <c r="C32" s="182"/>
      <c r="D32" s="5" t="s">
        <v>84</v>
      </c>
      <c r="E32" s="15">
        <v>0</v>
      </c>
      <c r="F32" s="5" t="s">
        <v>21</v>
      </c>
      <c r="I32" s="10"/>
      <c r="J32" s="27"/>
      <c r="K32" s="38"/>
      <c r="L32" s="27"/>
      <c r="M32" s="5"/>
      <c r="O32" s="10"/>
      <c r="P32" s="16"/>
      <c r="R32" s="2"/>
      <c r="S32" s="4"/>
      <c r="AC32" s="30"/>
      <c r="AD32" s="30"/>
      <c r="BX32"/>
    </row>
    <row r="33" spans="1:83" ht="18">
      <c r="A33" s="181" t="s">
        <v>66</v>
      </c>
      <c r="B33" s="182"/>
      <c r="C33" s="182"/>
      <c r="D33" s="5" t="s">
        <v>146</v>
      </c>
      <c r="E33" s="15">
        <f>E32/E29</f>
        <v>0</v>
      </c>
      <c r="H33" s="5" t="s">
        <v>129</v>
      </c>
      <c r="I33" s="6"/>
      <c r="J33" s="20"/>
      <c r="K33" s="5" t="s">
        <v>132</v>
      </c>
      <c r="L33" s="15">
        <v>1</v>
      </c>
      <c r="M33" s="5"/>
      <c r="O33" s="10" t="s">
        <v>172</v>
      </c>
      <c r="P33" s="10"/>
      <c r="Q33" s="27"/>
      <c r="R33" s="38"/>
      <c r="S33" s="27"/>
      <c r="T33" s="5"/>
      <c r="U33" s="2"/>
      <c r="V33" s="10"/>
      <c r="W33" s="16"/>
      <c r="X33" s="18"/>
      <c r="Y33" s="3"/>
      <c r="Z33"/>
      <c r="AC33" s="30"/>
      <c r="AD33" s="30"/>
      <c r="AE33" s="30"/>
      <c r="AF33" s="30"/>
      <c r="AG33" s="30"/>
      <c r="AH33" s="30"/>
      <c r="AI33" s="30"/>
      <c r="AJ33" s="30"/>
      <c r="AK33" s="30"/>
      <c r="BX33"/>
      <c r="BY33"/>
      <c r="BZ33"/>
      <c r="CA33"/>
      <c r="CB33"/>
      <c r="CC33"/>
      <c r="CD33"/>
      <c r="CE33"/>
    </row>
    <row r="34" spans="1:84" ht="18">
      <c r="A34" s="181" t="s">
        <v>23</v>
      </c>
      <c r="B34" s="182"/>
      <c r="C34" s="182"/>
      <c r="D34" s="5" t="s">
        <v>56</v>
      </c>
      <c r="E34" s="4">
        <f>(E29-E32)/E35</f>
        <v>3.9995581103872464</v>
      </c>
      <c r="F34" s="5" t="s">
        <v>15</v>
      </c>
      <c r="H34" s="5" t="s">
        <v>128</v>
      </c>
      <c r="I34" s="6"/>
      <c r="J34" s="20"/>
      <c r="K34" s="5" t="s">
        <v>133</v>
      </c>
      <c r="L34" s="15">
        <v>2</v>
      </c>
      <c r="M34" s="5"/>
      <c r="O34" s="10" t="s">
        <v>188</v>
      </c>
      <c r="P34" s="202">
        <v>0.0009023255298815842</v>
      </c>
      <c r="Q34" s="203"/>
      <c r="R34" s="38"/>
      <c r="S34" s="27"/>
      <c r="T34" s="5"/>
      <c r="U34" s="2"/>
      <c r="V34" s="10"/>
      <c r="W34" s="29"/>
      <c r="X34" s="18"/>
      <c r="Y34" s="3"/>
      <c r="Z34"/>
      <c r="AC34" s="30"/>
      <c r="AD34" s="30"/>
      <c r="AE34" s="30"/>
      <c r="AF34" s="30"/>
      <c r="AG34" s="30"/>
      <c r="AH34" s="30"/>
      <c r="AI34" s="30"/>
      <c r="AJ34" s="30"/>
      <c r="AK34" s="30"/>
      <c r="BX34"/>
      <c r="BY34"/>
      <c r="BZ34"/>
      <c r="CA34"/>
      <c r="CB34"/>
      <c r="CC34"/>
      <c r="CD34"/>
      <c r="CE34"/>
      <c r="CF34"/>
    </row>
    <row r="35" spans="1:82" ht="18">
      <c r="A35" s="181" t="s">
        <v>51</v>
      </c>
      <c r="B35" s="182"/>
      <c r="C35" s="182"/>
      <c r="D35" s="5" t="s">
        <v>53</v>
      </c>
      <c r="E35" s="15">
        <v>1</v>
      </c>
      <c r="F35" s="5" t="s">
        <v>52</v>
      </c>
      <c r="H35" s="5" t="s">
        <v>130</v>
      </c>
      <c r="I35" s="6"/>
      <c r="J35" s="20"/>
      <c r="K35" s="5" t="s">
        <v>134</v>
      </c>
      <c r="L35" s="15">
        <v>1</v>
      </c>
      <c r="M35" s="5"/>
      <c r="O35" s="10" t="s">
        <v>189</v>
      </c>
      <c r="P35" s="186">
        <v>-5.378266220120102E-05</v>
      </c>
      <c r="Q35" s="187"/>
      <c r="R35" s="38"/>
      <c r="S35" s="5"/>
      <c r="T35" s="2"/>
      <c r="U35" s="10"/>
      <c r="V35" s="29"/>
      <c r="W35" s="16"/>
      <c r="X35" s="18"/>
      <c r="Y35"/>
      <c r="AC35" s="30"/>
      <c r="AD35" s="30"/>
      <c r="AE35" s="30"/>
      <c r="AF35" s="30"/>
      <c r="AG35" s="30"/>
      <c r="AH35" s="30"/>
      <c r="AI35" s="30"/>
      <c r="AJ35" s="30"/>
      <c r="BX35"/>
      <c r="BY35"/>
      <c r="BZ35"/>
      <c r="CA35"/>
      <c r="CB35"/>
      <c r="CC35"/>
      <c r="CD35"/>
    </row>
    <row r="36" spans="3:81" ht="16.5">
      <c r="C36" s="2"/>
      <c r="D36" s="2"/>
      <c r="E36" s="2"/>
      <c r="F36" s="2"/>
      <c r="H36" s="5" t="s">
        <v>131</v>
      </c>
      <c r="I36" s="6"/>
      <c r="J36" s="20"/>
      <c r="K36" s="5" t="s">
        <v>68</v>
      </c>
      <c r="L36" s="15">
        <v>1</v>
      </c>
      <c r="M36" s="5"/>
      <c r="O36" s="10" t="s">
        <v>90</v>
      </c>
      <c r="P36" s="27">
        <v>1.2000000525728414</v>
      </c>
      <c r="Q36" s="10"/>
      <c r="R36" s="38"/>
      <c r="S36" s="5"/>
      <c r="T36" s="2"/>
      <c r="U36" s="10"/>
      <c r="V36" s="29"/>
      <c r="W36" s="16"/>
      <c r="X36" s="18"/>
      <c r="Y36"/>
      <c r="AC36" s="30"/>
      <c r="AD36" s="30"/>
      <c r="AE36" s="30"/>
      <c r="AF36" s="30"/>
      <c r="AG36" s="30"/>
      <c r="AH36" s="30"/>
      <c r="AI36" s="30"/>
      <c r="AJ36" s="30"/>
      <c r="BX36"/>
      <c r="BY36"/>
      <c r="BZ36"/>
      <c r="CA36"/>
      <c r="CB36"/>
      <c r="CC36"/>
    </row>
    <row r="37" spans="16:77" ht="15.75" customHeight="1">
      <c r="P37" s="2"/>
      <c r="Q37" s="120" t="s">
        <v>144</v>
      </c>
      <c r="R37" s="56" t="s">
        <v>157</v>
      </c>
      <c r="S37" s="4"/>
      <c r="T37" s="194" t="s">
        <v>71</v>
      </c>
      <c r="U37" s="201"/>
      <c r="V37" s="201"/>
      <c r="W37" s="201"/>
      <c r="X37" s="201"/>
      <c r="Y37" s="201"/>
      <c r="Z37" s="201"/>
      <c r="AA37" s="201"/>
      <c r="AB37" s="201"/>
      <c r="AC37" s="190"/>
      <c r="AD37" s="30"/>
      <c r="BX37"/>
      <c r="BY37"/>
    </row>
    <row r="38" spans="1:77" ht="18">
      <c r="A38" s="191" t="s">
        <v>46</v>
      </c>
      <c r="B38" s="192"/>
      <c r="C38" s="192"/>
      <c r="D38" s="192"/>
      <c r="E38" s="193"/>
      <c r="F38" s="198" t="s">
        <v>141</v>
      </c>
      <c r="G38" s="199"/>
      <c r="H38" s="199"/>
      <c r="I38" s="199"/>
      <c r="J38" s="200"/>
      <c r="K38" s="191" t="s">
        <v>143</v>
      </c>
      <c r="L38" s="192"/>
      <c r="M38" s="192"/>
      <c r="N38" s="192"/>
      <c r="O38" s="192"/>
      <c r="P38" s="200"/>
      <c r="Q38" s="121" t="s">
        <v>176</v>
      </c>
      <c r="R38" s="57" t="s">
        <v>173</v>
      </c>
      <c r="S38" s="4"/>
      <c r="T38" s="194" t="s">
        <v>72</v>
      </c>
      <c r="U38" s="195"/>
      <c r="V38" s="195"/>
      <c r="W38" s="195"/>
      <c r="X38" s="196"/>
      <c r="Y38" s="194" t="s">
        <v>73</v>
      </c>
      <c r="Z38" s="195"/>
      <c r="AA38" s="195"/>
      <c r="AB38" s="195"/>
      <c r="AC38" s="197"/>
      <c r="AD38" s="188" t="s">
        <v>142</v>
      </c>
      <c r="AE38" s="189"/>
      <c r="AF38" s="189"/>
      <c r="AG38" s="189"/>
      <c r="AH38" s="190"/>
      <c r="BX38"/>
      <c r="BY38"/>
    </row>
    <row r="39" spans="1:76" ht="16.5">
      <c r="A39" s="51" t="s">
        <v>24</v>
      </c>
      <c r="B39" s="52" t="s">
        <v>25</v>
      </c>
      <c r="C39" s="53" t="s">
        <v>26</v>
      </c>
      <c r="D39" s="54" t="s">
        <v>27</v>
      </c>
      <c r="E39" s="55" t="s">
        <v>29</v>
      </c>
      <c r="F39" s="45" t="s">
        <v>28</v>
      </c>
      <c r="G39" s="54" t="s">
        <v>36</v>
      </c>
      <c r="H39" s="54" t="s">
        <v>37</v>
      </c>
      <c r="I39" s="46" t="s">
        <v>38</v>
      </c>
      <c r="J39" s="55" t="s">
        <v>29</v>
      </c>
      <c r="K39" s="89" t="s">
        <v>30</v>
      </c>
      <c r="L39" s="52" t="s">
        <v>31</v>
      </c>
      <c r="M39" s="52" t="s">
        <v>32</v>
      </c>
      <c r="N39" s="52" t="s">
        <v>33</v>
      </c>
      <c r="O39" s="52" t="s">
        <v>174</v>
      </c>
      <c r="P39" s="116" t="s">
        <v>175</v>
      </c>
      <c r="Q39" s="122" t="s">
        <v>41</v>
      </c>
      <c r="R39" s="58" t="s">
        <v>42</v>
      </c>
      <c r="S39"/>
      <c r="T39" s="59" t="s">
        <v>74</v>
      </c>
      <c r="U39" s="60" t="s">
        <v>75</v>
      </c>
      <c r="V39" s="60" t="s">
        <v>76</v>
      </c>
      <c r="W39" s="60" t="s">
        <v>77</v>
      </c>
      <c r="X39" s="61" t="s">
        <v>78</v>
      </c>
      <c r="Y39" s="59" t="s">
        <v>79</v>
      </c>
      <c r="Z39" s="60" t="s">
        <v>80</v>
      </c>
      <c r="AA39" s="60" t="s">
        <v>81</v>
      </c>
      <c r="AB39" s="60" t="s">
        <v>82</v>
      </c>
      <c r="AC39" s="61" t="s">
        <v>83</v>
      </c>
      <c r="AD39" s="59" t="s">
        <v>116</v>
      </c>
      <c r="AE39" s="62" t="s">
        <v>117</v>
      </c>
      <c r="AF39" s="62" t="s">
        <v>118</v>
      </c>
      <c r="AG39" s="62" t="s">
        <v>119</v>
      </c>
      <c r="AH39" s="63" t="s">
        <v>120</v>
      </c>
      <c r="BX39"/>
    </row>
    <row r="40" spans="1:76" ht="16.5">
      <c r="A40" s="18">
        <v>0</v>
      </c>
      <c r="B40" s="4">
        <v>-0.8219977069090909</v>
      </c>
      <c r="C40" s="11">
        <v>244.26680129999903</v>
      </c>
      <c r="D40" s="4">
        <v>-7.829455454545454E-06</v>
      </c>
      <c r="E40" s="4">
        <f aca="true" t="shared" si="3" ref="E40:E56">SQRT(B40^2+D40^2)</f>
        <v>0.8219977069463784</v>
      </c>
      <c r="F40" s="82">
        <f aca="true" t="shared" si="4" ref="F40:F56">-B40*$E$29*(1-$E$33)/$E$30/$E$34</f>
        <v>0.3874606207443275</v>
      </c>
      <c r="G40" s="85">
        <f aca="true" t="shared" si="5" ref="G40:G56">C40*$E$29*(1-$E$33)/$E$30/$E$34</f>
        <v>115.13872321470612</v>
      </c>
      <c r="H40" s="87">
        <f aca="true" t="shared" si="6" ref="H40:H56">-D40*$E$29*(1-$E$33)/$E$30/$E$34</f>
        <v>3.690528142609217E-06</v>
      </c>
      <c r="I40" s="87">
        <f aca="true" t="shared" si="7" ref="I40:I56">E40*$E$29*(1-$E$33)/$E$30/$E$34</f>
        <v>0.3874606207619035</v>
      </c>
      <c r="J40" s="56">
        <f aca="true" t="shared" si="8" ref="J40:J56">E40*E$29/E$30</f>
        <v>1.5496712682239484</v>
      </c>
      <c r="K40" s="11">
        <f aca="true" t="shared" si="9" ref="K40:K56">L$33*E$14/120*F40^2/E$8*E$7*E$10*(E$10-1)*E$5/E$6</f>
        <v>8.882581193056389</v>
      </c>
      <c r="L40" s="11">
        <f aca="true" t="shared" si="10" ref="L40:L56">L$34*E$14/6*F40^2/E$9*E$7*E$5/E$6*(1+(G40*E$5/F40)^2/15)</f>
        <v>454.3930055980578</v>
      </c>
      <c r="M40" s="15">
        <f aca="true" t="shared" si="11" ref="M40:M56">L$35*E$14/8*H40^2/E$9*E$7*E$6/E$5</f>
        <v>1.9485186149068316E-10</v>
      </c>
      <c r="N40" s="11">
        <f aca="true" t="shared" si="12" ref="N40:N56">E$14*E$15*(E$12/E$11)^2*J40*(1-E$33)/E$34^2*(E$20/2/PI())^2/E$19*LN((E$18+E$19*J40)/(E$18+E$19*E$33*J40))</f>
        <v>135.96213856017295</v>
      </c>
      <c r="O40" s="11">
        <f aca="true" t="shared" si="13" ref="O40:O56">(Y40+Z40+AA40+AB40+AC40)/5</f>
        <v>1305.0930918344488</v>
      </c>
      <c r="P40" s="11">
        <f aca="true" t="shared" si="14" ref="P40:P56">(AD40+AE40+AF40+AG40+AH40)/5</f>
        <v>82.35103272177872</v>
      </c>
      <c r="Q40" s="120">
        <f aca="true" t="shared" si="15" ref="Q40:Q56">SUM(K40:P40)</f>
        <v>1986.6818499077094</v>
      </c>
      <c r="R40" s="90">
        <f aca="true" t="shared" si="16" ref="R40:R55">Q40*J$29</f>
        <v>0.01567266769799226</v>
      </c>
      <c r="S40" s="28"/>
      <c r="T40" s="92">
        <f aca="true" t="shared" si="17" ref="T40:T56">SQRT(($B40-$C40*0.8*$E$5)^2+$D40^2)*$E$29/$E$30</f>
        <v>3.341952891658965</v>
      </c>
      <c r="U40" s="93">
        <f aca="true" t="shared" si="18" ref="U40:U56">SQRT(($B40-$C40*0.4*$E$5)^2+$D40^2)*$E$29/$E$30</f>
        <v>2.4458120799345493</v>
      </c>
      <c r="V40" s="93">
        <f aca="true" t="shared" si="19" ref="V40:V56">SQRT(($B40)^2+$D40^2)*$E$29/$E$30</f>
        <v>1.5496712682239484</v>
      </c>
      <c r="W40" s="93">
        <f aca="true" t="shared" si="20" ref="W40:W56">SQRT(($B40+$C40*0.4*$E$5)^2+$D40^2)*$E$29/$E$30</f>
        <v>0.6535304565839826</v>
      </c>
      <c r="X40" s="94">
        <f aca="true" t="shared" si="21" ref="X40:X56">SQRT(($B40+$C40*0.8*$E$5)^2+$D40^2)*$E$29/$E$30</f>
        <v>0.24261035576807957</v>
      </c>
      <c r="Y40" s="165">
        <f aca="true" t="shared" si="22" ref="Y40:Y56">$L$36*$E$14*$E$15*$E$17/$E$34*2/3*$E$21/PI()*($E$22*$E$23*LN((T40+$E$23)/($E$33*T40+$E$23))+$E$24*T40*(1-$E$33)+$E$25*T40^2/2*(1-$E$33^2))</f>
        <v>2074.211514489407</v>
      </c>
      <c r="Z40" s="165">
        <f aca="true" t="shared" si="23" ref="Z40:Z56">$L$36*$E$14*$E$15*$E$17/$E$34*2/3*$E$21/PI()*($E$22*$E$23*LN((U40+$E$23)/($E$33*U40+$E$23))+$E$24*U40*(1-$E$33)+$E$25*U40^2/2*(1-$E$33^2))</f>
        <v>1775.4383876630409</v>
      </c>
      <c r="AA40" s="165">
        <f aca="true" t="shared" si="24" ref="AA40:AA56">$L$36*$E$14*$E$15*$E$17/$E$34*2/3*$E$21/PI()*($E$22*$E$23*LN((V40+$E$23)/($E$33*V40+$E$23))+$E$24*V40*(1-$E$33)+$E$25*V40^2/2*(1-$E$33^2))</f>
        <v>1389.852324259472</v>
      </c>
      <c r="AB40" s="165">
        <f aca="true" t="shared" si="25" ref="AB40:AB56">$L$36*$E$14*$E$15*$E$17/$E$34*2/3*$E$21/PI()*($E$22*$E$23*LN((W40+$E$23)/($E$33*W40+$E$23))+$E$24*W40*(1-$E$33)+$E$25*W40^2/2*(1-$E$33^2))</f>
        <v>843.8820754149292</v>
      </c>
      <c r="AC40" s="165">
        <f aca="true" t="shared" si="26" ref="AC40:AC56">$L$36*$E$14*$E$15*$E$17/$E$34*2/3*$E$21/PI()*($E$22*$E$23*LN((X40+$E$23)/($E$33*X40+$E$23))+$E$24*X40*(1-$E$33)+$E$25*X40^2/2*(1-$E$33^2))</f>
        <v>442.0811573453945</v>
      </c>
      <c r="AD40" s="169">
        <f aca="true" t="shared" si="27" ref="AD40:AD56">1/9/PI()*$E$21/$E$34*$E$28^2*T40*(3*T40+4*$E$27)/($E$26*$E$27*$E$14*$E$15*$E$17*16*$E$5^2*$E$6^2)</f>
        <v>216.08870006910055</v>
      </c>
      <c r="AE40" s="170">
        <f aca="true" t="shared" si="28" ref="AE40:AE56">1/9/PI()*$E$21/$E$34*$E$28^2*U40*(3*U40+4*$E$27)/($E$26*$E$27*$E$14*$E$15*$E$17*16*$E$5^2*$E$6^2)</f>
        <v>122.79095363860043</v>
      </c>
      <c r="AF40" s="170">
        <f aca="true" t="shared" si="29" ref="AF40:AF56">1/9/PI()*$E$21/$E$34*$E$28^2*V40*(3*V40+4*$E$27)/($E$26*$E$27*$E$14*$E$15*$E$17*16*$E$5^2*$E$6^2)</f>
        <v>55.400342927189634</v>
      </c>
      <c r="AG40" s="170">
        <f aca="true" t="shared" si="30" ref="AG40:AG56">1/9/PI()*$E$21/$E$34*$E$28^2*W40*(3*W40+4*$E$27)/($E$26*$E$27*$E$14*$E$15*$E$17*16*$E$5^2*$E$6^2)</f>
        <v>13.916867935479</v>
      </c>
      <c r="AH40" s="171">
        <f aca="true" t="shared" si="31" ref="AH40:AH56">1/9/PI()*$E$21/$E$34*$E$28^2*X40*(3*X40+4*$E$27)/($E$26*$E$27*$E$14*$E$15*$E$17*16*$E$5^2*$E$6^2)</f>
        <v>3.5582990385240385</v>
      </c>
      <c r="AI40" s="28"/>
      <c r="BX40"/>
    </row>
    <row r="41" spans="1:76" ht="16.5">
      <c r="A41" s="18">
        <v>1</v>
      </c>
      <c r="B41" s="4">
        <v>-0.8217296287421121</v>
      </c>
      <c r="C41" s="11">
        <v>246.64712192512508</v>
      </c>
      <c r="D41" s="4">
        <v>-0.004352904612639874</v>
      </c>
      <c r="E41" s="4">
        <f t="shared" si="3"/>
        <v>0.8217411578661593</v>
      </c>
      <c r="F41" s="83">
        <f t="shared" si="4"/>
        <v>0.38733425818624184</v>
      </c>
      <c r="G41" s="86">
        <f t="shared" si="5"/>
        <v>116.2607220952746</v>
      </c>
      <c r="H41" s="88">
        <f t="shared" si="6"/>
        <v>0.0020518051438321344</v>
      </c>
      <c r="I41" s="88">
        <f t="shared" si="7"/>
        <v>0.38733969260719264</v>
      </c>
      <c r="J41" s="57">
        <f t="shared" si="8"/>
        <v>1.5491876090420003</v>
      </c>
      <c r="K41" s="11">
        <f t="shared" si="9"/>
        <v>8.876788384221152</v>
      </c>
      <c r="L41" s="11">
        <f t="shared" si="10"/>
        <v>455.2212252582157</v>
      </c>
      <c r="M41" s="15">
        <f t="shared" si="11"/>
        <v>6.02281807000628E-05</v>
      </c>
      <c r="N41" s="11">
        <f t="shared" si="12"/>
        <v>135.88990576418936</v>
      </c>
      <c r="O41" s="11">
        <f t="shared" si="13"/>
        <v>1309.7975666619066</v>
      </c>
      <c r="P41" s="11">
        <f t="shared" si="14"/>
        <v>82.9065866525642</v>
      </c>
      <c r="Q41" s="121">
        <f t="shared" si="15"/>
        <v>1992.6921329492777</v>
      </c>
      <c r="R41" s="90">
        <f t="shared" si="16"/>
        <v>0.015720082017947792</v>
      </c>
      <c r="S41" s="28"/>
      <c r="T41" s="79">
        <f t="shared" si="17"/>
        <v>3.3589228707486023</v>
      </c>
      <c r="U41" s="80">
        <f t="shared" si="18"/>
        <v>2.4540530808851906</v>
      </c>
      <c r="V41" s="80">
        <f t="shared" si="19"/>
        <v>1.5491876090420003</v>
      </c>
      <c r="W41" s="80">
        <f t="shared" si="20"/>
        <v>0.6443446471101922</v>
      </c>
      <c r="X41" s="81">
        <f t="shared" si="21"/>
        <v>0.2607102847088317</v>
      </c>
      <c r="Y41" s="165">
        <f t="shared" si="22"/>
        <v>2079.2004912968573</v>
      </c>
      <c r="Z41" s="165">
        <f t="shared" si="23"/>
        <v>1778.5312757065863</v>
      </c>
      <c r="AA41" s="165">
        <f t="shared" si="24"/>
        <v>1389.6127205920304</v>
      </c>
      <c r="AB41" s="165">
        <f t="shared" si="25"/>
        <v>836.6654403601649</v>
      </c>
      <c r="AC41" s="165">
        <f t="shared" si="26"/>
        <v>464.97790535389447</v>
      </c>
      <c r="AD41" s="172">
        <f t="shared" si="27"/>
        <v>218.10539796336425</v>
      </c>
      <c r="AE41" s="173">
        <f t="shared" si="28"/>
        <v>123.5309022386342</v>
      </c>
      <c r="AF41" s="173">
        <f t="shared" si="29"/>
        <v>55.370966300319125</v>
      </c>
      <c r="AG41" s="173">
        <f t="shared" si="30"/>
        <v>13.625785773025973</v>
      </c>
      <c r="AH41" s="174">
        <f t="shared" si="31"/>
        <v>3.8998809874774683</v>
      </c>
      <c r="AI41" s="28"/>
      <c r="BX41"/>
    </row>
    <row r="42" spans="1:76" ht="16.5">
      <c r="A42" s="18">
        <v>2</v>
      </c>
      <c r="B42" s="4">
        <v>-0.821585611225844</v>
      </c>
      <c r="C42" s="11">
        <v>247.8761242952973</v>
      </c>
      <c r="D42" s="4">
        <v>-0.04666387906774721</v>
      </c>
      <c r="E42" s="4">
        <f t="shared" si="3"/>
        <v>0.8229097363520455</v>
      </c>
      <c r="F42" s="83">
        <f t="shared" si="4"/>
        <v>0.3872663734272184</v>
      </c>
      <c r="G42" s="86">
        <f t="shared" si="5"/>
        <v>116.84003030652711</v>
      </c>
      <c r="H42" s="88">
        <f t="shared" si="6"/>
        <v>0.021995700715412306</v>
      </c>
      <c r="I42" s="88">
        <f t="shared" si="7"/>
        <v>0.3878905191383669</v>
      </c>
      <c r="J42" s="57">
        <f t="shared" si="8"/>
        <v>1.5513906717621748</v>
      </c>
      <c r="K42" s="11">
        <f t="shared" si="9"/>
        <v>8.873677139494006</v>
      </c>
      <c r="L42" s="11">
        <f t="shared" si="10"/>
        <v>455.64757932096734</v>
      </c>
      <c r="M42" s="15">
        <f t="shared" si="11"/>
        <v>0.006921546164874934</v>
      </c>
      <c r="N42" s="11">
        <f t="shared" si="12"/>
        <v>136.21903616759948</v>
      </c>
      <c r="O42" s="11">
        <f t="shared" si="13"/>
        <v>1316.856898523059</v>
      </c>
      <c r="P42" s="11">
        <f t="shared" si="14"/>
        <v>83.37144664641384</v>
      </c>
      <c r="Q42" s="121">
        <f t="shared" si="15"/>
        <v>2000.9755593436987</v>
      </c>
      <c r="R42" s="90">
        <f t="shared" si="16"/>
        <v>0.015785428862127485</v>
      </c>
      <c r="S42" s="28"/>
      <c r="T42" s="79">
        <f t="shared" si="17"/>
        <v>3.3688078719269154</v>
      </c>
      <c r="U42" s="80">
        <f t="shared" si="18"/>
        <v>2.4598503079507354</v>
      </c>
      <c r="V42" s="80">
        <f t="shared" si="19"/>
        <v>1.5513906717621748</v>
      </c>
      <c r="W42" s="80">
        <f t="shared" si="20"/>
        <v>0.6455345960309518</v>
      </c>
      <c r="X42" s="81">
        <f t="shared" si="21"/>
        <v>0.2838471987738913</v>
      </c>
      <c r="Y42" s="165">
        <f t="shared" si="22"/>
        <v>2082.095981868229</v>
      </c>
      <c r="Z42" s="165">
        <f t="shared" si="23"/>
        <v>1780.7027621100474</v>
      </c>
      <c r="AA42" s="165">
        <f t="shared" si="24"/>
        <v>1390.703776463124</v>
      </c>
      <c r="AB42" s="165">
        <f t="shared" si="25"/>
        <v>837.6033038877171</v>
      </c>
      <c r="AC42" s="165">
        <f t="shared" si="26"/>
        <v>493.1786682861776</v>
      </c>
      <c r="AD42" s="172">
        <f t="shared" si="27"/>
        <v>219.28440502239243</v>
      </c>
      <c r="AE42" s="173">
        <f t="shared" si="28"/>
        <v>124.05274031859832</v>
      </c>
      <c r="AF42" s="173">
        <f t="shared" si="29"/>
        <v>55.50483764096554</v>
      </c>
      <c r="AG42" s="173">
        <f t="shared" si="30"/>
        <v>13.663339691096317</v>
      </c>
      <c r="AH42" s="174">
        <f t="shared" si="31"/>
        <v>4.351910559016583</v>
      </c>
      <c r="AI42" s="28"/>
      <c r="BX42"/>
    </row>
    <row r="43" spans="1:76" ht="16.5">
      <c r="A43" s="18">
        <v>3</v>
      </c>
      <c r="B43" s="4">
        <v>-0.8208176406045933</v>
      </c>
      <c r="C43" s="11">
        <v>248.61971105177216</v>
      </c>
      <c r="D43" s="4">
        <v>-0.08816510333209439</v>
      </c>
      <c r="E43" s="4">
        <f t="shared" si="3"/>
        <v>0.8255390266809015</v>
      </c>
      <c r="F43" s="83">
        <f t="shared" si="4"/>
        <v>0.3869043792621226</v>
      </c>
      <c r="G43" s="86">
        <f t="shared" si="5"/>
        <v>117.19053078094375</v>
      </c>
      <c r="H43" s="88">
        <f t="shared" si="6"/>
        <v>0.041557908711805036</v>
      </c>
      <c r="I43" s="88">
        <f t="shared" si="7"/>
        <v>0.3891298735238753</v>
      </c>
      <c r="J43" s="57">
        <f t="shared" si="8"/>
        <v>1.5563475416463788</v>
      </c>
      <c r="K43" s="11">
        <f t="shared" si="9"/>
        <v>8.857095694424181</v>
      </c>
      <c r="L43" s="11">
        <f t="shared" si="10"/>
        <v>455.2469251687742</v>
      </c>
      <c r="M43" s="15">
        <f t="shared" si="11"/>
        <v>0.024707845996991686</v>
      </c>
      <c r="N43" s="11">
        <f t="shared" si="12"/>
        <v>136.96061295446435</v>
      </c>
      <c r="O43" s="11">
        <f t="shared" si="13"/>
        <v>1328.932601758961</v>
      </c>
      <c r="P43" s="11">
        <f t="shared" si="14"/>
        <v>83.92520703306158</v>
      </c>
      <c r="Q43" s="121">
        <f t="shared" si="15"/>
        <v>2013.9471504556823</v>
      </c>
      <c r="R43" s="90">
        <f t="shared" si="16"/>
        <v>0.015887760011436464</v>
      </c>
      <c r="S43" s="28"/>
      <c r="T43" s="79">
        <f t="shared" si="17"/>
        <v>3.375761609438932</v>
      </c>
      <c r="U43" s="80">
        <f t="shared" si="18"/>
        <v>2.465166693325483</v>
      </c>
      <c r="V43" s="80">
        <f t="shared" si="19"/>
        <v>1.5563475416463788</v>
      </c>
      <c r="W43" s="80">
        <f t="shared" si="20"/>
        <v>0.6567183393845566</v>
      </c>
      <c r="X43" s="81">
        <f t="shared" si="21"/>
        <v>0.3228478690763627</v>
      </c>
      <c r="Y43" s="165">
        <f t="shared" si="22"/>
        <v>2084.128196133872</v>
      </c>
      <c r="Z43" s="165">
        <f t="shared" si="23"/>
        <v>1782.6910668024473</v>
      </c>
      <c r="AA43" s="165">
        <f t="shared" si="24"/>
        <v>1393.1554954441312</v>
      </c>
      <c r="AB43" s="165">
        <f t="shared" si="25"/>
        <v>846.374213573816</v>
      </c>
      <c r="AC43" s="165">
        <f t="shared" si="26"/>
        <v>538.314036840538</v>
      </c>
      <c r="AD43" s="172">
        <f t="shared" si="27"/>
        <v>220.1156821606091</v>
      </c>
      <c r="AE43" s="173">
        <f t="shared" si="28"/>
        <v>124.53224841133292</v>
      </c>
      <c r="AF43" s="173">
        <f t="shared" si="29"/>
        <v>55.806619337789144</v>
      </c>
      <c r="AG43" s="173">
        <f t="shared" si="30"/>
        <v>14.018522605969315</v>
      </c>
      <c r="AH43" s="174">
        <f t="shared" si="31"/>
        <v>5.152962649607449</v>
      </c>
      <c r="AI43" s="28"/>
      <c r="BX43"/>
    </row>
    <row r="44" spans="1:76" ht="16.5">
      <c r="A44" s="18">
        <v>4</v>
      </c>
      <c r="B44" s="4">
        <v>-0.8198187393907777</v>
      </c>
      <c r="C44" s="11">
        <v>249.01848455721432</v>
      </c>
      <c r="D44" s="4">
        <v>-0.12932473383011736</v>
      </c>
      <c r="E44" s="4">
        <f t="shared" si="3"/>
        <v>0.8299564158656251</v>
      </c>
      <c r="F44" s="83">
        <f t="shared" si="4"/>
        <v>0.38643353259051505</v>
      </c>
      <c r="G44" s="86">
        <f t="shared" si="5"/>
        <v>117.37849849503384</v>
      </c>
      <c r="H44" s="88">
        <f t="shared" si="6"/>
        <v>0.06095910149899474</v>
      </c>
      <c r="I44" s="88">
        <f t="shared" si="7"/>
        <v>0.39121207441226724</v>
      </c>
      <c r="J44" s="57">
        <f t="shared" si="8"/>
        <v>1.5646754250970023</v>
      </c>
      <c r="K44" s="11">
        <f t="shared" si="9"/>
        <v>8.83555137138744</v>
      </c>
      <c r="L44" s="11">
        <f t="shared" si="10"/>
        <v>454.4644192433657</v>
      </c>
      <c r="M44" s="15">
        <f t="shared" si="11"/>
        <v>0.05316240632851434</v>
      </c>
      <c r="N44" s="11">
        <f t="shared" si="12"/>
        <v>138.20973682551428</v>
      </c>
      <c r="O44" s="11">
        <f t="shared" si="13"/>
        <v>1344.4819110817866</v>
      </c>
      <c r="P44" s="11">
        <f t="shared" si="14"/>
        <v>84.62502423581842</v>
      </c>
      <c r="Q44" s="121">
        <f t="shared" si="15"/>
        <v>2030.669805164201</v>
      </c>
      <c r="R44" s="90">
        <f t="shared" si="16"/>
        <v>0.016019682800325414</v>
      </c>
      <c r="S44" s="28"/>
      <c r="T44" s="79">
        <f t="shared" si="17"/>
        <v>3.3815108379980257</v>
      </c>
      <c r="U44" s="80">
        <f t="shared" si="18"/>
        <v>2.4711932742356653</v>
      </c>
      <c r="V44" s="80">
        <f t="shared" si="19"/>
        <v>1.5646754250970023</v>
      </c>
      <c r="W44" s="80">
        <f t="shared" si="20"/>
        <v>0.6773880050036333</v>
      </c>
      <c r="X44" s="81">
        <f t="shared" si="21"/>
        <v>0.37246767495789124</v>
      </c>
      <c r="Y44" s="165">
        <f t="shared" si="22"/>
        <v>2085.8054949433176</v>
      </c>
      <c r="Z44" s="165">
        <f t="shared" si="23"/>
        <v>1784.9414362075222</v>
      </c>
      <c r="AA44" s="165">
        <f t="shared" si="24"/>
        <v>1397.2647875963587</v>
      </c>
      <c r="AB44" s="165">
        <f t="shared" si="25"/>
        <v>862.3821765450435</v>
      </c>
      <c r="AC44" s="165">
        <f t="shared" si="26"/>
        <v>592.0156601166902</v>
      </c>
      <c r="AD44" s="172">
        <f t="shared" si="27"/>
        <v>220.80414557717697</v>
      </c>
      <c r="AE44" s="173">
        <f t="shared" si="28"/>
        <v>125.07691479338774</v>
      </c>
      <c r="AF44" s="173">
        <f t="shared" si="29"/>
        <v>56.3154179474939</v>
      </c>
      <c r="AG44" s="173">
        <f t="shared" si="30"/>
        <v>14.685587619846283</v>
      </c>
      <c r="AH44" s="174">
        <f t="shared" si="31"/>
        <v>6.2430552411872</v>
      </c>
      <c r="AI44" s="28"/>
      <c r="BX44"/>
    </row>
    <row r="45" spans="1:76" ht="16.5">
      <c r="A45" s="18">
        <v>5</v>
      </c>
      <c r="B45" s="4">
        <v>-0.8183791186552796</v>
      </c>
      <c r="C45" s="11">
        <v>249.07833636928586</v>
      </c>
      <c r="D45" s="4">
        <v>-0.17029335958175434</v>
      </c>
      <c r="E45" s="4">
        <f t="shared" si="3"/>
        <v>0.8359092116782976</v>
      </c>
      <c r="F45" s="83">
        <f t="shared" si="4"/>
        <v>0.3857549463376288</v>
      </c>
      <c r="G45" s="86">
        <f t="shared" si="5"/>
        <v>117.40671052052126</v>
      </c>
      <c r="H45" s="88">
        <f t="shared" si="6"/>
        <v>0.08027026141020709</v>
      </c>
      <c r="I45" s="88">
        <f t="shared" si="7"/>
        <v>0.39401801163247585</v>
      </c>
      <c r="J45" s="57">
        <f t="shared" si="8"/>
        <v>1.5758979340633252</v>
      </c>
      <c r="K45" s="11">
        <f t="shared" si="9"/>
        <v>8.804547750261364</v>
      </c>
      <c r="L45" s="11">
        <f t="shared" si="10"/>
        <v>453.1001398937668</v>
      </c>
      <c r="M45" s="15">
        <f t="shared" si="11"/>
        <v>0.09218003546080236</v>
      </c>
      <c r="N45" s="11">
        <f t="shared" si="12"/>
        <v>139.89940385476615</v>
      </c>
      <c r="O45" s="11">
        <f t="shared" si="13"/>
        <v>1362.1047635888556</v>
      </c>
      <c r="P45" s="11">
        <f t="shared" si="14"/>
        <v>85.43713889716777</v>
      </c>
      <c r="Q45" s="121">
        <f t="shared" si="15"/>
        <v>2049.4381740202784</v>
      </c>
      <c r="R45" s="90">
        <f t="shared" si="16"/>
        <v>0.01616774395482195</v>
      </c>
      <c r="S45" s="28"/>
      <c r="T45" s="79">
        <f t="shared" si="17"/>
        <v>3.3856908964291677</v>
      </c>
      <c r="U45" s="80">
        <f t="shared" si="18"/>
        <v>2.4775312620883025</v>
      </c>
      <c r="V45" s="80">
        <f t="shared" si="19"/>
        <v>1.5758979340633252</v>
      </c>
      <c r="W45" s="80">
        <f t="shared" si="20"/>
        <v>0.7062451968289324</v>
      </c>
      <c r="X45" s="81">
        <f t="shared" si="21"/>
        <v>0.42912130336479604</v>
      </c>
      <c r="Y45" s="165">
        <f t="shared" si="22"/>
        <v>2087.023352545522</v>
      </c>
      <c r="Z45" s="165">
        <f t="shared" si="23"/>
        <v>1787.304032470945</v>
      </c>
      <c r="AA45" s="165">
        <f t="shared" si="24"/>
        <v>1402.7831640805534</v>
      </c>
      <c r="AB45" s="165">
        <f t="shared" si="25"/>
        <v>884.3112784798359</v>
      </c>
      <c r="AC45" s="165">
        <f t="shared" si="26"/>
        <v>649.1019903674213</v>
      </c>
      <c r="AD45" s="172">
        <f t="shared" si="27"/>
        <v>221.30537218005438</v>
      </c>
      <c r="AE45" s="173">
        <f t="shared" si="28"/>
        <v>125.65098936689188</v>
      </c>
      <c r="AF45" s="173">
        <f t="shared" si="29"/>
        <v>57.0046050012162</v>
      </c>
      <c r="AG45" s="173">
        <f t="shared" si="30"/>
        <v>15.639939079941856</v>
      </c>
      <c r="AH45" s="174">
        <f t="shared" si="31"/>
        <v>7.584788857734494</v>
      </c>
      <c r="AI45" s="28"/>
      <c r="BX45"/>
    </row>
    <row r="46" spans="1:76" ht="16.5">
      <c r="A46" s="18">
        <v>6</v>
      </c>
      <c r="B46" s="4">
        <v>-0.8165897522528507</v>
      </c>
      <c r="C46" s="11">
        <v>248.9262978938888</v>
      </c>
      <c r="D46" s="4">
        <v>-0.21129872517543874</v>
      </c>
      <c r="E46" s="4">
        <f t="shared" si="3"/>
        <v>0.8434844247199457</v>
      </c>
      <c r="F46" s="83">
        <f t="shared" si="4"/>
        <v>0.38491150235816673</v>
      </c>
      <c r="G46" s="86">
        <f t="shared" si="5"/>
        <v>117.33504496530227</v>
      </c>
      <c r="H46" s="88">
        <f t="shared" si="6"/>
        <v>0.0995987391823892</v>
      </c>
      <c r="I46" s="88">
        <f t="shared" si="7"/>
        <v>0.39758869890169485</v>
      </c>
      <c r="J46" s="57">
        <f t="shared" si="8"/>
        <v>1.5901791052905865</v>
      </c>
      <c r="K46" s="11">
        <f t="shared" si="9"/>
        <v>8.766087975109699</v>
      </c>
      <c r="L46" s="11">
        <f t="shared" si="10"/>
        <v>451.3028000782045</v>
      </c>
      <c r="M46" s="15">
        <f t="shared" si="11"/>
        <v>0.14191725348724427</v>
      </c>
      <c r="N46" s="11">
        <f t="shared" si="12"/>
        <v>142.06010562372273</v>
      </c>
      <c r="O46" s="11">
        <f t="shared" si="13"/>
        <v>1381.2184662351367</v>
      </c>
      <c r="P46" s="11">
        <f t="shared" si="14"/>
        <v>86.3984359685704</v>
      </c>
      <c r="Q46" s="121">
        <f t="shared" si="15"/>
        <v>2069.8878131342312</v>
      </c>
      <c r="R46" s="90">
        <f t="shared" si="16"/>
        <v>0.01632906842576919</v>
      </c>
      <c r="S46" s="28"/>
      <c r="T46" s="79">
        <f t="shared" si="17"/>
        <v>3.389436037443777</v>
      </c>
      <c r="U46" s="80">
        <f t="shared" si="18"/>
        <v>2.4848490471062026</v>
      </c>
      <c r="V46" s="80">
        <f t="shared" si="19"/>
        <v>1.5901791052905865</v>
      </c>
      <c r="W46" s="80">
        <f t="shared" si="20"/>
        <v>0.7422001427627675</v>
      </c>
      <c r="X46" s="81">
        <f t="shared" si="21"/>
        <v>0.49096759765539616</v>
      </c>
      <c r="Y46" s="165">
        <f t="shared" si="22"/>
        <v>2088.1133209989207</v>
      </c>
      <c r="Z46" s="165">
        <f t="shared" si="23"/>
        <v>1790.026708244653</v>
      </c>
      <c r="AA46" s="165">
        <f t="shared" si="24"/>
        <v>1409.77392779759</v>
      </c>
      <c r="AB46" s="165">
        <f t="shared" si="25"/>
        <v>910.9903802048816</v>
      </c>
      <c r="AC46" s="165">
        <f t="shared" si="26"/>
        <v>707.1879939296379</v>
      </c>
      <c r="AD46" s="172">
        <f t="shared" si="27"/>
        <v>221.7549270300259</v>
      </c>
      <c r="AE46" s="173">
        <f t="shared" si="28"/>
        <v>126.31542269962553</v>
      </c>
      <c r="AF46" s="173">
        <f t="shared" si="29"/>
        <v>57.887502928864706</v>
      </c>
      <c r="AG46" s="173">
        <f t="shared" si="30"/>
        <v>16.86661235205499</v>
      </c>
      <c r="AH46" s="174">
        <f t="shared" si="31"/>
        <v>9.167714832280897</v>
      </c>
      <c r="AI46" s="28"/>
      <c r="BX46"/>
    </row>
    <row r="47" spans="1:76" ht="16.5">
      <c r="A47" s="18">
        <v>7</v>
      </c>
      <c r="B47" s="4">
        <v>-0.814521089821648</v>
      </c>
      <c r="C47" s="11">
        <v>248.45779899296454</v>
      </c>
      <c r="D47" s="4">
        <v>-0.25243209734431343</v>
      </c>
      <c r="E47" s="4">
        <f t="shared" si="3"/>
        <v>0.8527406226596068</v>
      </c>
      <c r="F47" s="83">
        <f t="shared" si="4"/>
        <v>0.38393640811767515</v>
      </c>
      <c r="G47" s="86">
        <f t="shared" si="5"/>
        <v>117.11421116802474</v>
      </c>
      <c r="H47" s="88">
        <f t="shared" si="6"/>
        <v>0.11898755472274966</v>
      </c>
      <c r="I47" s="88">
        <f t="shared" si="7"/>
        <v>0.4019517429458434</v>
      </c>
      <c r="J47" s="57">
        <f t="shared" si="8"/>
        <v>1.6076293534833377</v>
      </c>
      <c r="K47" s="11">
        <f t="shared" si="9"/>
        <v>8.721730065074633</v>
      </c>
      <c r="L47" s="11">
        <f t="shared" si="10"/>
        <v>449.0941284653298</v>
      </c>
      <c r="M47" s="15">
        <f t="shared" si="11"/>
        <v>0.20254922944992382</v>
      </c>
      <c r="N47" s="11">
        <f t="shared" si="12"/>
        <v>144.71617321764302</v>
      </c>
      <c r="O47" s="11">
        <f t="shared" si="13"/>
        <v>1401.2528708248383</v>
      </c>
      <c r="P47" s="11">
        <f t="shared" si="14"/>
        <v>87.489592446346</v>
      </c>
      <c r="Q47" s="121">
        <f t="shared" si="15"/>
        <v>2091.4770442486815</v>
      </c>
      <c r="R47" s="90">
        <f t="shared" si="16"/>
        <v>0.016499382985761597</v>
      </c>
      <c r="S47" s="28"/>
      <c r="T47" s="79">
        <f t="shared" si="17"/>
        <v>3.3921571711357354</v>
      </c>
      <c r="U47" s="80">
        <f t="shared" si="18"/>
        <v>2.4929378693289688</v>
      </c>
      <c r="V47" s="80">
        <f t="shared" si="19"/>
        <v>1.6076293534833377</v>
      </c>
      <c r="W47" s="80">
        <f t="shared" si="20"/>
        <v>0.7848114596691261</v>
      </c>
      <c r="X47" s="81">
        <f t="shared" si="21"/>
        <v>0.5559765170172644</v>
      </c>
      <c r="Y47" s="165">
        <f t="shared" si="22"/>
        <v>2088.9045703505153</v>
      </c>
      <c r="Z47" s="165">
        <f t="shared" si="23"/>
        <v>1793.0298452928776</v>
      </c>
      <c r="AA47" s="165">
        <f t="shared" si="24"/>
        <v>1418.2684588560699</v>
      </c>
      <c r="AB47" s="165">
        <f t="shared" si="25"/>
        <v>941.7497766915916</v>
      </c>
      <c r="AC47" s="165">
        <f t="shared" si="26"/>
        <v>764.3117029331378</v>
      </c>
      <c r="AD47" s="172">
        <f t="shared" si="27"/>
        <v>222.08184710719073</v>
      </c>
      <c r="AE47" s="173">
        <f t="shared" si="28"/>
        <v>127.05187409364417</v>
      </c>
      <c r="AF47" s="173">
        <f t="shared" si="29"/>
        <v>58.97525273988995</v>
      </c>
      <c r="AG47" s="173">
        <f t="shared" si="30"/>
        <v>18.374381253290213</v>
      </c>
      <c r="AH47" s="174">
        <f t="shared" si="31"/>
        <v>10.964607037715002</v>
      </c>
      <c r="AI47" s="28"/>
      <c r="BX47"/>
    </row>
    <row r="48" spans="1:76" ht="16.5">
      <c r="A48" s="18">
        <v>8</v>
      </c>
      <c r="B48" s="4">
        <v>-0.811908099555227</v>
      </c>
      <c r="C48" s="11">
        <v>247.71187929577997</v>
      </c>
      <c r="D48" s="4">
        <v>-0.2939766016246563</v>
      </c>
      <c r="E48" s="4">
        <f t="shared" si="3"/>
        <v>0.863491172176162</v>
      </c>
      <c r="F48" s="83">
        <f t="shared" si="4"/>
        <v>0.38270473700458496</v>
      </c>
      <c r="G48" s="86">
        <f t="shared" si="5"/>
        <v>116.76261102794247</v>
      </c>
      <c r="H48" s="88">
        <f t="shared" si="6"/>
        <v>0.13857016338659262</v>
      </c>
      <c r="I48" s="88">
        <f t="shared" si="7"/>
        <v>0.4070191714240688</v>
      </c>
      <c r="J48" s="57">
        <f t="shared" si="8"/>
        <v>1.6278968281522312</v>
      </c>
      <c r="K48" s="11">
        <f t="shared" si="9"/>
        <v>8.665861061494903</v>
      </c>
      <c r="L48" s="11">
        <f t="shared" si="10"/>
        <v>446.240946917775</v>
      </c>
      <c r="M48" s="15">
        <f t="shared" si="11"/>
        <v>0.2747052593834321</v>
      </c>
      <c r="N48" s="11">
        <f t="shared" si="12"/>
        <v>147.8228193342003</v>
      </c>
      <c r="O48" s="11">
        <f t="shared" si="13"/>
        <v>1421.9462864973702</v>
      </c>
      <c r="P48" s="11">
        <f t="shared" si="14"/>
        <v>88.70241020276784</v>
      </c>
      <c r="Q48" s="121">
        <f t="shared" si="15"/>
        <v>2113.6530292729917</v>
      </c>
      <c r="R48" s="90">
        <f t="shared" si="16"/>
        <v>0.016674326368959973</v>
      </c>
      <c r="S48" s="28"/>
      <c r="T48" s="79">
        <f t="shared" si="17"/>
        <v>3.3937685577966787</v>
      </c>
      <c r="U48" s="80">
        <f t="shared" si="18"/>
        <v>2.501594672369815</v>
      </c>
      <c r="V48" s="80">
        <f t="shared" si="19"/>
        <v>1.6278968281522312</v>
      </c>
      <c r="W48" s="80">
        <f t="shared" si="20"/>
        <v>0.8329955334373105</v>
      </c>
      <c r="X48" s="81">
        <f t="shared" si="21"/>
        <v>0.6240803887996188</v>
      </c>
      <c r="Y48" s="165">
        <f t="shared" si="22"/>
        <v>2089.3728519394563</v>
      </c>
      <c r="Z48" s="165">
        <f t="shared" si="23"/>
        <v>1796.2364201471787</v>
      </c>
      <c r="AA48" s="165">
        <f t="shared" si="24"/>
        <v>1428.0696792019467</v>
      </c>
      <c r="AB48" s="165">
        <f t="shared" si="25"/>
        <v>975.4989304764388</v>
      </c>
      <c r="AC48" s="165">
        <f t="shared" si="26"/>
        <v>820.553550721831</v>
      </c>
      <c r="AD48" s="172">
        <f t="shared" si="27"/>
        <v>222.27555353189854</v>
      </c>
      <c r="AE48" s="173">
        <f t="shared" si="28"/>
        <v>127.84237589860794</v>
      </c>
      <c r="AF48" s="173">
        <f t="shared" si="29"/>
        <v>60.250943058377615</v>
      </c>
      <c r="AG48" s="173">
        <f t="shared" si="30"/>
        <v>20.149905314474168</v>
      </c>
      <c r="AH48" s="174">
        <f t="shared" si="31"/>
        <v>12.993273210480917</v>
      </c>
      <c r="AI48" s="28"/>
      <c r="BX48"/>
    </row>
    <row r="49" spans="1:76" ht="16.5">
      <c r="A49" s="18">
        <v>9</v>
      </c>
      <c r="B49" s="4">
        <v>-0.808983216110299</v>
      </c>
      <c r="C49" s="11">
        <v>246.684348194236</v>
      </c>
      <c r="D49" s="4">
        <v>-0.3360578703147423</v>
      </c>
      <c r="E49" s="4">
        <f t="shared" si="3"/>
        <v>0.8760072694610718</v>
      </c>
      <c r="F49" s="83">
        <f t="shared" si="4"/>
        <v>0.3813260504880033</v>
      </c>
      <c r="G49" s="86">
        <f t="shared" si="5"/>
        <v>116.27826924074286</v>
      </c>
      <c r="H49" s="88">
        <f t="shared" si="6"/>
        <v>0.15840578379200673</v>
      </c>
      <c r="I49" s="88">
        <f t="shared" si="7"/>
        <v>0.41291881662082097</v>
      </c>
      <c r="J49" s="57">
        <f t="shared" si="8"/>
        <v>1.6514928019473087</v>
      </c>
      <c r="K49" s="11">
        <f t="shared" si="9"/>
        <v>8.603536327484557</v>
      </c>
      <c r="L49" s="11">
        <f t="shared" si="10"/>
        <v>442.9694691030438</v>
      </c>
      <c r="M49" s="15">
        <f t="shared" si="11"/>
        <v>0.35897944821519895</v>
      </c>
      <c r="N49" s="11">
        <f t="shared" si="12"/>
        <v>151.4688830360891</v>
      </c>
      <c r="O49" s="11">
        <f t="shared" si="13"/>
        <v>1443.2603118555794</v>
      </c>
      <c r="P49" s="11">
        <f t="shared" si="14"/>
        <v>90.07091480646818</v>
      </c>
      <c r="Q49" s="121">
        <f t="shared" si="15"/>
        <v>2136.7320945768806</v>
      </c>
      <c r="R49" s="90">
        <f t="shared" si="16"/>
        <v>0.01685639403183459</v>
      </c>
      <c r="S49" s="28"/>
      <c r="T49" s="79">
        <f t="shared" si="17"/>
        <v>3.3947980620576526</v>
      </c>
      <c r="U49" s="80">
        <f t="shared" si="18"/>
        <v>2.5113737223434054</v>
      </c>
      <c r="V49" s="80">
        <f t="shared" si="19"/>
        <v>1.6514928019473087</v>
      </c>
      <c r="W49" s="80">
        <f t="shared" si="20"/>
        <v>0.8865356095334225</v>
      </c>
      <c r="X49" s="81">
        <f t="shared" si="21"/>
        <v>0.6946572604803345</v>
      </c>
      <c r="Y49" s="165">
        <f t="shared" si="22"/>
        <v>2089.6719263836817</v>
      </c>
      <c r="Z49" s="165">
        <f t="shared" si="23"/>
        <v>1799.849470952922</v>
      </c>
      <c r="AA49" s="165">
        <f t="shared" si="24"/>
        <v>1439.3943597630996</v>
      </c>
      <c r="AB49" s="165">
        <f t="shared" si="25"/>
        <v>1011.8232441000337</v>
      </c>
      <c r="AC49" s="165">
        <f t="shared" si="26"/>
        <v>875.56255807816</v>
      </c>
      <c r="AD49" s="172">
        <f t="shared" si="27"/>
        <v>222.39935513782243</v>
      </c>
      <c r="AE49" s="173">
        <f t="shared" si="28"/>
        <v>128.73826445472653</v>
      </c>
      <c r="AF49" s="173">
        <f t="shared" si="29"/>
        <v>61.75283288008977</v>
      </c>
      <c r="AG49" s="173">
        <f t="shared" si="30"/>
        <v>22.21064112853443</v>
      </c>
      <c r="AH49" s="174">
        <f t="shared" si="31"/>
        <v>15.253480431167763</v>
      </c>
      <c r="AI49" s="28"/>
      <c r="BX49"/>
    </row>
    <row r="50" spans="1:76" ht="16.5">
      <c r="A50" s="18">
        <v>10</v>
      </c>
      <c r="B50" s="4">
        <v>-0.805486638655367</v>
      </c>
      <c r="C50" s="11">
        <v>245.26913205326798</v>
      </c>
      <c r="D50" s="4">
        <v>-0.3788205015613247</v>
      </c>
      <c r="E50" s="4">
        <f t="shared" si="3"/>
        <v>0.8901200466540989</v>
      </c>
      <c r="F50" s="83">
        <f t="shared" si="4"/>
        <v>0.37967788765277727</v>
      </c>
      <c r="G50" s="86">
        <f t="shared" si="5"/>
        <v>115.61118644980813</v>
      </c>
      <c r="H50" s="88">
        <f t="shared" si="6"/>
        <v>0.17856257438667203</v>
      </c>
      <c r="I50" s="88">
        <f t="shared" si="7"/>
        <v>0.41957108020461886</v>
      </c>
      <c r="J50" s="57">
        <f t="shared" si="8"/>
        <v>1.6780989167163212</v>
      </c>
      <c r="K50" s="11">
        <f t="shared" si="9"/>
        <v>8.52932485185117</v>
      </c>
      <c r="L50" s="11">
        <f t="shared" si="10"/>
        <v>438.9889911302504</v>
      </c>
      <c r="M50" s="15">
        <f t="shared" si="11"/>
        <v>0.4561507502745869</v>
      </c>
      <c r="N50" s="11">
        <f t="shared" si="12"/>
        <v>155.61739770357346</v>
      </c>
      <c r="O50" s="11">
        <f t="shared" si="13"/>
        <v>1464.9335010460702</v>
      </c>
      <c r="P50" s="11">
        <f t="shared" si="14"/>
        <v>91.55762530170716</v>
      </c>
      <c r="Q50" s="121">
        <f t="shared" si="15"/>
        <v>2160.082990783727</v>
      </c>
      <c r="R50" s="90">
        <f t="shared" si="16"/>
        <v>0.017040606132386678</v>
      </c>
      <c r="S50" s="28"/>
      <c r="T50" s="79">
        <f t="shared" si="17"/>
        <v>3.394165373598436</v>
      </c>
      <c r="U50" s="80">
        <f t="shared" si="18"/>
        <v>2.521609553242666</v>
      </c>
      <c r="V50" s="80">
        <f t="shared" si="19"/>
        <v>1.6780989167163212</v>
      </c>
      <c r="W50" s="80">
        <f t="shared" si="20"/>
        <v>0.9449139056940818</v>
      </c>
      <c r="X50" s="81">
        <f t="shared" si="21"/>
        <v>0.7674983281241333</v>
      </c>
      <c r="Y50" s="165">
        <f t="shared" si="22"/>
        <v>2089.488138193071</v>
      </c>
      <c r="Z50" s="165">
        <f t="shared" si="23"/>
        <v>1803.620853100178</v>
      </c>
      <c r="AA50" s="165">
        <f t="shared" si="24"/>
        <v>1452.0545342716482</v>
      </c>
      <c r="AB50" s="165">
        <f t="shared" si="25"/>
        <v>1050.1440499235755</v>
      </c>
      <c r="AC50" s="165">
        <f t="shared" si="26"/>
        <v>929.3599297418791</v>
      </c>
      <c r="AD50" s="172">
        <f t="shared" si="27"/>
        <v>222.32326801571392</v>
      </c>
      <c r="AE50" s="173">
        <f t="shared" si="28"/>
        <v>129.67930465799876</v>
      </c>
      <c r="AF50" s="173">
        <f t="shared" si="29"/>
        <v>63.467863636103644</v>
      </c>
      <c r="AG50" s="173">
        <f t="shared" si="30"/>
        <v>24.562985713834973</v>
      </c>
      <c r="AH50" s="174">
        <f t="shared" si="31"/>
        <v>17.754704484884527</v>
      </c>
      <c r="AI50" s="28"/>
      <c r="BX50"/>
    </row>
    <row r="51" spans="1:76" ht="16.5">
      <c r="A51" s="18">
        <v>11</v>
      </c>
      <c r="B51" s="4">
        <v>-0.8015244467186982</v>
      </c>
      <c r="C51" s="11">
        <v>243.52097485084414</v>
      </c>
      <c r="D51" s="4">
        <v>-0.42258181905155917</v>
      </c>
      <c r="E51" s="4">
        <f t="shared" si="3"/>
        <v>0.9060997916789518</v>
      </c>
      <c r="F51" s="83">
        <f t="shared" si="4"/>
        <v>0.3778102506333717</v>
      </c>
      <c r="G51" s="86">
        <f t="shared" si="5"/>
        <v>114.78716702844409</v>
      </c>
      <c r="H51" s="88">
        <f t="shared" si="6"/>
        <v>0.1991901103236197</v>
      </c>
      <c r="I51" s="88">
        <f t="shared" si="7"/>
        <v>0.42710336633464613</v>
      </c>
      <c r="J51" s="57">
        <f t="shared" si="8"/>
        <v>1.7082247327974291</v>
      </c>
      <c r="K51" s="11">
        <f t="shared" si="9"/>
        <v>8.445619667670556</v>
      </c>
      <c r="L51" s="11">
        <f t="shared" si="10"/>
        <v>434.4348542169917</v>
      </c>
      <c r="M51" s="15">
        <f t="shared" si="11"/>
        <v>0.5676270201311923</v>
      </c>
      <c r="N51" s="11">
        <f t="shared" si="12"/>
        <v>160.36192463838265</v>
      </c>
      <c r="O51" s="11">
        <f t="shared" si="13"/>
        <v>1487.154571541287</v>
      </c>
      <c r="P51" s="11">
        <f t="shared" si="14"/>
        <v>93.21670771879907</v>
      </c>
      <c r="Q51" s="121">
        <f t="shared" si="15"/>
        <v>2184.1813048032623</v>
      </c>
      <c r="R51" s="90">
        <f t="shared" si="16"/>
        <v>0.017230714512209845</v>
      </c>
      <c r="S51" s="28"/>
      <c r="T51" s="79">
        <f t="shared" si="17"/>
        <v>3.3927453338625777</v>
      </c>
      <c r="U51" s="80">
        <f t="shared" si="18"/>
        <v>2.5330228065606657</v>
      </c>
      <c r="V51" s="80">
        <f t="shared" si="19"/>
        <v>1.7082247327974291</v>
      </c>
      <c r="W51" s="80">
        <f t="shared" si="20"/>
        <v>1.0080686970635577</v>
      </c>
      <c r="X51" s="81">
        <f t="shared" si="21"/>
        <v>0.8430402240297818</v>
      </c>
      <c r="Y51" s="165">
        <f t="shared" si="22"/>
        <v>2089.0755188596363</v>
      </c>
      <c r="Z51" s="165">
        <f t="shared" si="23"/>
        <v>1807.8135207421753</v>
      </c>
      <c r="AA51" s="165">
        <f t="shared" si="24"/>
        <v>1466.2526145569789</v>
      </c>
      <c r="AB51" s="165">
        <f t="shared" si="25"/>
        <v>1090.2263590101518</v>
      </c>
      <c r="AC51" s="165">
        <f t="shared" si="26"/>
        <v>982.404844537492</v>
      </c>
      <c r="AD51" s="172">
        <f t="shared" si="27"/>
        <v>222.15254103762442</v>
      </c>
      <c r="AE51" s="173">
        <f t="shared" si="28"/>
        <v>130.73257776503172</v>
      </c>
      <c r="AF51" s="173">
        <f t="shared" si="29"/>
        <v>65.43734229194128</v>
      </c>
      <c r="AG51" s="173">
        <f t="shared" si="30"/>
        <v>27.23160331866296</v>
      </c>
      <c r="AH51" s="174">
        <f t="shared" si="31"/>
        <v>20.529474180734976</v>
      </c>
      <c r="AI51" s="28"/>
      <c r="BX51"/>
    </row>
    <row r="52" spans="1:76" ht="16.5">
      <c r="A52" s="18">
        <v>12</v>
      </c>
      <c r="B52" s="4">
        <v>-0.7970047609221869</v>
      </c>
      <c r="C52" s="11">
        <v>241.13815804634072</v>
      </c>
      <c r="D52" s="4">
        <v>-0.4676103714250752</v>
      </c>
      <c r="E52" s="4">
        <f t="shared" si="3"/>
        <v>0.924054137156979</v>
      </c>
      <c r="F52" s="83">
        <f t="shared" si="4"/>
        <v>0.37567983074343003</v>
      </c>
      <c r="G52" s="86">
        <f t="shared" si="5"/>
        <v>113.66399153728057</v>
      </c>
      <c r="H52" s="88">
        <f t="shared" si="6"/>
        <v>0.22041497592508846</v>
      </c>
      <c r="I52" s="88">
        <f t="shared" si="7"/>
        <v>0.43556640921846757</v>
      </c>
      <c r="J52" s="57">
        <f t="shared" si="8"/>
        <v>1.7420731646019723</v>
      </c>
      <c r="K52" s="11">
        <f t="shared" si="9"/>
        <v>8.350640842344264</v>
      </c>
      <c r="L52" s="11">
        <f t="shared" si="10"/>
        <v>429.09478567924685</v>
      </c>
      <c r="M52" s="15">
        <f t="shared" si="11"/>
        <v>0.6950398639083588</v>
      </c>
      <c r="N52" s="11">
        <f t="shared" si="12"/>
        <v>165.75177666010796</v>
      </c>
      <c r="O52" s="11">
        <f t="shared" si="13"/>
        <v>1509.772668522684</v>
      </c>
      <c r="P52" s="11">
        <f t="shared" si="14"/>
        <v>95.00318204241553</v>
      </c>
      <c r="Q52" s="121">
        <f t="shared" si="15"/>
        <v>2208.668093610707</v>
      </c>
      <c r="R52" s="90">
        <f t="shared" si="16"/>
        <v>0.017423887517735527</v>
      </c>
      <c r="S52" s="28"/>
      <c r="T52" s="79">
        <f t="shared" si="17"/>
        <v>3.388560706992405</v>
      </c>
      <c r="U52" s="80">
        <f t="shared" si="18"/>
        <v>2.5447893967710185</v>
      </c>
      <c r="V52" s="80">
        <f t="shared" si="19"/>
        <v>1.7420731646019723</v>
      </c>
      <c r="W52" s="80">
        <f t="shared" si="20"/>
        <v>1.076541302364774</v>
      </c>
      <c r="X52" s="81">
        <f t="shared" si="21"/>
        <v>0.9210428157968258</v>
      </c>
      <c r="Y52" s="165">
        <f t="shared" si="22"/>
        <v>2087.858668386846</v>
      </c>
      <c r="Z52" s="165">
        <f t="shared" si="23"/>
        <v>1812.1222090085946</v>
      </c>
      <c r="AA52" s="165">
        <f t="shared" si="24"/>
        <v>1482.035539725887</v>
      </c>
      <c r="AB52" s="165">
        <f t="shared" si="25"/>
        <v>1132.218091730355</v>
      </c>
      <c r="AC52" s="165">
        <f t="shared" si="26"/>
        <v>1034.6288337617364</v>
      </c>
      <c r="AD52" s="172">
        <f t="shared" si="27"/>
        <v>221.64981461936435</v>
      </c>
      <c r="AE52" s="173">
        <f t="shared" si="28"/>
        <v>131.82285804519256</v>
      </c>
      <c r="AF52" s="173">
        <f t="shared" si="29"/>
        <v>67.6851159306348</v>
      </c>
      <c r="AG52" s="173">
        <f t="shared" si="30"/>
        <v>30.2703046035969</v>
      </c>
      <c r="AH52" s="174">
        <f t="shared" si="31"/>
        <v>23.58781701328899</v>
      </c>
      <c r="AI52" s="28"/>
      <c r="BX52"/>
    </row>
    <row r="53" spans="1:76" ht="16.5">
      <c r="A53" s="18">
        <v>13</v>
      </c>
      <c r="B53" s="4">
        <v>-0.7918310116276626</v>
      </c>
      <c r="C53" s="11">
        <v>238.16823057209103</v>
      </c>
      <c r="D53" s="4">
        <v>-0.5142884104791888</v>
      </c>
      <c r="E53" s="4">
        <f t="shared" si="3"/>
        <v>0.9441869095303631</v>
      </c>
      <c r="F53" s="83">
        <f t="shared" si="4"/>
        <v>0.37324110847403374</v>
      </c>
      <c r="G53" s="86">
        <f t="shared" si="5"/>
        <v>112.26407285981193</v>
      </c>
      <c r="H53" s="88">
        <f t="shared" si="6"/>
        <v>0.24241735115681773</v>
      </c>
      <c r="I53" s="88">
        <f t="shared" si="7"/>
        <v>0.4450562854255777</v>
      </c>
      <c r="J53" s="57">
        <f t="shared" si="8"/>
        <v>1.7800284759526905</v>
      </c>
      <c r="K53" s="11">
        <f t="shared" si="9"/>
        <v>8.242576512765378</v>
      </c>
      <c r="L53" s="11">
        <f t="shared" si="10"/>
        <v>422.9169769919554</v>
      </c>
      <c r="M53" s="15">
        <f t="shared" si="11"/>
        <v>0.8407268531597024</v>
      </c>
      <c r="N53" s="11">
        <f t="shared" si="12"/>
        <v>171.86884870434642</v>
      </c>
      <c r="O53" s="11">
        <f t="shared" si="13"/>
        <v>1532.9901725659888</v>
      </c>
      <c r="P53" s="11">
        <f t="shared" si="14"/>
        <v>96.97061996515794</v>
      </c>
      <c r="Q53" s="121">
        <f t="shared" si="15"/>
        <v>2233.8299215933735</v>
      </c>
      <c r="R53" s="90">
        <f t="shared" si="16"/>
        <v>0.017622385817130923</v>
      </c>
      <c r="S53" s="28"/>
      <c r="T53" s="79">
        <f t="shared" si="17"/>
        <v>3.3822791571967357</v>
      </c>
      <c r="U53" s="80">
        <f t="shared" si="18"/>
        <v>2.557476892680104</v>
      </c>
      <c r="V53" s="80">
        <f t="shared" si="19"/>
        <v>1.7800284759526905</v>
      </c>
      <c r="W53" s="80">
        <f t="shared" si="20"/>
        <v>1.1503270200411697</v>
      </c>
      <c r="X53" s="81">
        <f t="shared" si="21"/>
        <v>1.0024673012600955</v>
      </c>
      <c r="Y53" s="165">
        <f t="shared" si="22"/>
        <v>2086.029448227299</v>
      </c>
      <c r="Z53" s="165">
        <f t="shared" si="23"/>
        <v>1816.7525119385882</v>
      </c>
      <c r="AA53" s="165">
        <f t="shared" si="24"/>
        <v>1499.5251633572025</v>
      </c>
      <c r="AB53" s="165">
        <f t="shared" si="25"/>
        <v>1175.9180790259734</v>
      </c>
      <c r="AC53" s="165">
        <f t="shared" si="26"/>
        <v>1086.725660280881</v>
      </c>
      <c r="AD53" s="172">
        <f t="shared" si="27"/>
        <v>220.8962316777564</v>
      </c>
      <c r="AE53" s="173">
        <f t="shared" si="28"/>
        <v>133.00347305159136</v>
      </c>
      <c r="AF53" s="173">
        <f t="shared" si="29"/>
        <v>70.2495751035314</v>
      </c>
      <c r="AG53" s="173">
        <f t="shared" si="30"/>
        <v>33.7141047180914</v>
      </c>
      <c r="AH53" s="174">
        <f t="shared" si="31"/>
        <v>26.98971527481914</v>
      </c>
      <c r="AI53" s="28"/>
      <c r="BX53"/>
    </row>
    <row r="54" spans="1:76" ht="16.5">
      <c r="A54" s="18">
        <v>14</v>
      </c>
      <c r="B54" s="4">
        <v>-0.7860744857851696</v>
      </c>
      <c r="C54" s="11">
        <v>234.15578260976827</v>
      </c>
      <c r="D54" s="4">
        <v>-0.5627596874814667</v>
      </c>
      <c r="E54" s="4">
        <f t="shared" si="3"/>
        <v>0.96675310346368</v>
      </c>
      <c r="F54" s="83">
        <f t="shared" si="4"/>
        <v>0.3705276859699126</v>
      </c>
      <c r="G54" s="86">
        <f t="shared" si="5"/>
        <v>110.37274692895038</v>
      </c>
      <c r="H54" s="88">
        <f t="shared" si="6"/>
        <v>0.265264995277618</v>
      </c>
      <c r="I54" s="88">
        <f t="shared" si="7"/>
        <v>0.4556931904141786</v>
      </c>
      <c r="J54" s="57">
        <f t="shared" si="8"/>
        <v>1.822571395569268</v>
      </c>
      <c r="K54" s="11">
        <f t="shared" si="9"/>
        <v>8.123166863743853</v>
      </c>
      <c r="L54" s="11">
        <f t="shared" si="10"/>
        <v>415.7904795664943</v>
      </c>
      <c r="M54" s="15">
        <f t="shared" si="11"/>
        <v>1.006670642772978</v>
      </c>
      <c r="N54" s="11">
        <f t="shared" si="12"/>
        <v>178.8158968574462</v>
      </c>
      <c r="O54" s="11">
        <f t="shared" si="13"/>
        <v>1556.6314755338738</v>
      </c>
      <c r="P54" s="11">
        <f t="shared" si="14"/>
        <v>99.06875725393625</v>
      </c>
      <c r="Q54" s="121">
        <f t="shared" si="15"/>
        <v>2259.4364467182677</v>
      </c>
      <c r="R54" s="90">
        <f t="shared" si="16"/>
        <v>0.01782439227287088</v>
      </c>
      <c r="S54" s="28"/>
      <c r="T54" s="79">
        <f t="shared" si="17"/>
        <v>3.3713285617138395</v>
      </c>
      <c r="U54" s="80">
        <f t="shared" si="18"/>
        <v>2.5701848970967647</v>
      </c>
      <c r="V54" s="80">
        <f t="shared" si="19"/>
        <v>1.822571395569268</v>
      </c>
      <c r="W54" s="80">
        <f t="shared" si="20"/>
        <v>1.2302863614120527</v>
      </c>
      <c r="X54" s="81">
        <f t="shared" si="21"/>
        <v>1.0869059401125318</v>
      </c>
      <c r="Y54" s="165">
        <f t="shared" si="22"/>
        <v>2082.833091929651</v>
      </c>
      <c r="Z54" s="165">
        <f t="shared" si="23"/>
        <v>1821.3741451375045</v>
      </c>
      <c r="AA54" s="165">
        <f t="shared" si="24"/>
        <v>1518.8739281217509</v>
      </c>
      <c r="AB54" s="165">
        <f t="shared" si="25"/>
        <v>1221.6259785969698</v>
      </c>
      <c r="AC54" s="165">
        <f t="shared" si="26"/>
        <v>1138.4502338834927</v>
      </c>
      <c r="AD54" s="172">
        <f t="shared" si="27"/>
        <v>219.5855579528029</v>
      </c>
      <c r="AE54" s="173">
        <f t="shared" si="28"/>
        <v>134.19120204769754</v>
      </c>
      <c r="AF54" s="173">
        <f t="shared" si="29"/>
        <v>73.1792366630256</v>
      </c>
      <c r="AG54" s="173">
        <f t="shared" si="30"/>
        <v>37.64433926109486</v>
      </c>
      <c r="AH54" s="174">
        <f t="shared" si="31"/>
        <v>30.7434503450604</v>
      </c>
      <c r="AI54" s="28"/>
      <c r="BX54"/>
    </row>
    <row r="55" spans="1:76" ht="16.5">
      <c r="A55" s="18">
        <v>15</v>
      </c>
      <c r="B55" s="4">
        <v>-0.7797235727397585</v>
      </c>
      <c r="C55" s="11">
        <v>228.70524440167958</v>
      </c>
      <c r="D55" s="4">
        <v>-0.6155142377819834</v>
      </c>
      <c r="E55" s="4">
        <f t="shared" si="3"/>
        <v>0.9933914771118129</v>
      </c>
      <c r="F55" s="83">
        <f t="shared" si="4"/>
        <v>0.36753409037933465</v>
      </c>
      <c r="G55" s="86">
        <f t="shared" si="5"/>
        <v>107.80355616388384</v>
      </c>
      <c r="H55" s="88">
        <f t="shared" si="6"/>
        <v>0.29013162280555427</v>
      </c>
      <c r="I55" s="88">
        <f t="shared" si="7"/>
        <v>0.4682495767672933</v>
      </c>
      <c r="J55" s="57">
        <f t="shared" si="8"/>
        <v>1.8727913924450235</v>
      </c>
      <c r="K55" s="11">
        <f t="shared" si="9"/>
        <v>7.992438480333798</v>
      </c>
      <c r="L55" s="11">
        <f t="shared" si="10"/>
        <v>407.57120020762153</v>
      </c>
      <c r="M55" s="15">
        <f t="shared" si="11"/>
        <v>1.2042527606667257</v>
      </c>
      <c r="N55" s="11">
        <f t="shared" si="12"/>
        <v>187.13765867609806</v>
      </c>
      <c r="O55" s="11">
        <f t="shared" si="13"/>
        <v>1581.974882798784</v>
      </c>
      <c r="P55" s="11">
        <f t="shared" si="14"/>
        <v>101.46271041740911</v>
      </c>
      <c r="Q55" s="121">
        <f t="shared" si="15"/>
        <v>2287.3431433409132</v>
      </c>
      <c r="R55" s="90">
        <f t="shared" si="16"/>
        <v>0.0180445444742592</v>
      </c>
      <c r="S55" s="28"/>
      <c r="T55" s="79">
        <f t="shared" si="17"/>
        <v>3.3551298100110793</v>
      </c>
      <c r="U55" s="80">
        <f t="shared" si="18"/>
        <v>2.584205219764573</v>
      </c>
      <c r="V55" s="80">
        <f t="shared" si="19"/>
        <v>1.8727913924450235</v>
      </c>
      <c r="W55" s="80">
        <f t="shared" si="20"/>
        <v>1.3208289015985717</v>
      </c>
      <c r="X55" s="81">
        <f t="shared" si="21"/>
        <v>1.1789150863841826</v>
      </c>
      <c r="Y55" s="165">
        <f t="shared" si="22"/>
        <v>2078.0873703700804</v>
      </c>
      <c r="Z55" s="165">
        <f t="shared" si="23"/>
        <v>1826.4543739532</v>
      </c>
      <c r="AA55" s="165">
        <f t="shared" si="24"/>
        <v>1541.377723418521</v>
      </c>
      <c r="AB55" s="165">
        <f t="shared" si="25"/>
        <v>1271.5061694015624</v>
      </c>
      <c r="AC55" s="165">
        <f t="shared" si="26"/>
        <v>1192.4487768505558</v>
      </c>
      <c r="AD55" s="172">
        <f t="shared" si="27"/>
        <v>217.6538276527606</v>
      </c>
      <c r="AE55" s="173">
        <f t="shared" si="28"/>
        <v>135.50762891261817</v>
      </c>
      <c r="AF55" s="173">
        <f t="shared" si="29"/>
        <v>76.71271283702963</v>
      </c>
      <c r="AG55" s="173">
        <f t="shared" si="30"/>
        <v>42.34377997433995</v>
      </c>
      <c r="AH55" s="174">
        <f t="shared" si="31"/>
        <v>35.095602710297165</v>
      </c>
      <c r="AI55" s="28"/>
      <c r="BX55"/>
    </row>
    <row r="56" spans="1:76" ht="16.5">
      <c r="A56" s="15">
        <v>15.673373548625944</v>
      </c>
      <c r="B56" s="4">
        <v>-0.7724384853461057</v>
      </c>
      <c r="C56" s="11">
        <v>221.49363573046517</v>
      </c>
      <c r="D56" s="4">
        <v>-0.6088285186356931</v>
      </c>
      <c r="E56" s="4">
        <f t="shared" si="3"/>
        <v>0.9835310766559023</v>
      </c>
      <c r="F56" s="83">
        <f t="shared" si="4"/>
        <v>0.3641001580702831</v>
      </c>
      <c r="G56" s="86">
        <f t="shared" si="5"/>
        <v>104.4042591234811</v>
      </c>
      <c r="H56" s="88">
        <f t="shared" si="6"/>
        <v>0.28698021147098424</v>
      </c>
      <c r="I56" s="88">
        <f t="shared" si="7"/>
        <v>0.4636017330454406</v>
      </c>
      <c r="J56" s="57">
        <f t="shared" si="8"/>
        <v>1.854202071391475</v>
      </c>
      <c r="K56" s="11">
        <f t="shared" si="9"/>
        <v>7.843786806746813</v>
      </c>
      <c r="L56" s="11">
        <f t="shared" si="10"/>
        <v>397.873048569018</v>
      </c>
      <c r="M56" s="15">
        <f t="shared" si="11"/>
        <v>1.1782336415711285</v>
      </c>
      <c r="N56" s="11">
        <f t="shared" si="12"/>
        <v>184.04216357109863</v>
      </c>
      <c r="O56" s="11">
        <f t="shared" si="13"/>
        <v>1570.6383718737184</v>
      </c>
      <c r="P56" s="11">
        <f t="shared" si="14"/>
        <v>98.61144818269887</v>
      </c>
      <c r="Q56" s="121">
        <f t="shared" si="15"/>
        <v>2260.187052644852</v>
      </c>
      <c r="R56" s="90">
        <f>Q56*J$29*(A56-A55)</f>
        <v>0.012006461611132248</v>
      </c>
      <c r="S56" s="28"/>
      <c r="T56" s="79">
        <f t="shared" si="17"/>
        <v>3.28825415874889</v>
      </c>
      <c r="U56" s="80">
        <f t="shared" si="18"/>
        <v>2.5426429213804393</v>
      </c>
      <c r="V56" s="80">
        <f t="shared" si="19"/>
        <v>1.854202071391475</v>
      </c>
      <c r="W56" s="80">
        <f t="shared" si="20"/>
        <v>1.3159454016973953</v>
      </c>
      <c r="X56" s="81">
        <f t="shared" si="21"/>
        <v>1.1601611792049846</v>
      </c>
      <c r="Y56" s="165">
        <f t="shared" si="22"/>
        <v>2058.27250972695</v>
      </c>
      <c r="Z56" s="165">
        <f t="shared" si="23"/>
        <v>1811.3372533131123</v>
      </c>
      <c r="AA56" s="165">
        <f t="shared" si="24"/>
        <v>1533.0895570362277</v>
      </c>
      <c r="AB56" s="165">
        <f t="shared" si="25"/>
        <v>1268.863610339101</v>
      </c>
      <c r="AC56" s="165">
        <f t="shared" si="26"/>
        <v>1181.6289289532</v>
      </c>
      <c r="AD56" s="172">
        <f t="shared" si="27"/>
        <v>209.76839908929904</v>
      </c>
      <c r="AE56" s="173">
        <f t="shared" si="28"/>
        <v>131.6236347430657</v>
      </c>
      <c r="AF56" s="173">
        <f t="shared" si="29"/>
        <v>75.3952848676238</v>
      </c>
      <c r="AG56" s="173">
        <f t="shared" si="30"/>
        <v>42.08356359726269</v>
      </c>
      <c r="AH56" s="174">
        <f t="shared" si="31"/>
        <v>34.18635861624308</v>
      </c>
      <c r="AI56" s="28"/>
      <c r="BX56"/>
    </row>
    <row r="57" spans="2:76" ht="6" customHeight="1">
      <c r="B57" s="4"/>
      <c r="D57" s="4"/>
      <c r="E57" s="4"/>
      <c r="F57" s="83"/>
      <c r="G57" s="86"/>
      <c r="H57" s="88"/>
      <c r="I57" s="88"/>
      <c r="J57" s="57"/>
      <c r="L57" s="11"/>
      <c r="M57" s="15"/>
      <c r="N57" s="11"/>
      <c r="O57" s="11"/>
      <c r="P57" s="11"/>
      <c r="Q57" s="121"/>
      <c r="R57" s="90"/>
      <c r="S57" s="28"/>
      <c r="T57" s="79"/>
      <c r="U57" s="80"/>
      <c r="V57" s="80"/>
      <c r="W57" s="80"/>
      <c r="X57" s="81"/>
      <c r="Y57" s="165"/>
      <c r="Z57" s="165"/>
      <c r="AA57" s="165"/>
      <c r="AB57" s="165"/>
      <c r="AC57" s="165"/>
      <c r="AD57" s="172"/>
      <c r="AE57" s="173"/>
      <c r="AF57" s="173"/>
      <c r="AG57" s="173"/>
      <c r="AH57" s="174"/>
      <c r="AI57" s="28"/>
      <c r="BX57"/>
    </row>
    <row r="58" spans="1:76" ht="16.5">
      <c r="A58" s="15">
        <f>I25</f>
        <v>17.081863443783423</v>
      </c>
      <c r="B58" s="4">
        <v>-0.7697157603408762</v>
      </c>
      <c r="C58" s="11">
        <v>221.1340494294688</v>
      </c>
      <c r="D58" s="4">
        <v>-0.471884695094082</v>
      </c>
      <c r="E58" s="4">
        <f aca="true" t="shared" si="32" ref="E58:E77">SQRT(B58^2+D58^2)</f>
        <v>0.9028496647732489</v>
      </c>
      <c r="F58" s="83">
        <f aca="true" t="shared" si="33" ref="F58:F77">-B58*$E$29*(1-$E$33)/$E$30/$E$34</f>
        <v>0.3628167618858714</v>
      </c>
      <c r="G58" s="86">
        <f aca="true" t="shared" si="34" ref="G58:G77">C58*$E$29*(1-$E$33)/$E$30/$E$34</f>
        <v>104.23476287036002</v>
      </c>
      <c r="H58" s="88">
        <f aca="true" t="shared" si="35" ref="H58:H77">-D58*$E$29*(1-$E$33)/$E$30/$E$34</f>
        <v>0.2224297407938166</v>
      </c>
      <c r="I58" s="88">
        <f aca="true" t="shared" si="36" ref="I58:I77">E58*$E$29*(1-$E$33)/$E$30/$E$34</f>
        <v>0.425571371564105</v>
      </c>
      <c r="J58" s="57">
        <f aca="true" t="shared" si="37" ref="J58:J77">E58*E$29/E$30</f>
        <v>1.7020974306878407</v>
      </c>
      <c r="K58" s="11">
        <f aca="true" t="shared" si="38" ref="K58:K77">L$33*E$14/120*F58^2/E$8*E$7*E$10*(E$10-1)*E$5/E$6</f>
        <v>7.7885880154888785</v>
      </c>
      <c r="L58" s="11">
        <f aca="true" t="shared" si="39" ref="L58:L77">L$34*E$14/6*F58^2/E$9*E$7*E$5/E$6*(1+(G58*E$5/F58)^2/15)</f>
        <v>395.24641815153024</v>
      </c>
      <c r="M58" s="15">
        <f aca="true" t="shared" si="40" ref="M58:M77">L$35*E$14/8*H58^2/E$9*E$7*E$6/E$5</f>
        <v>0.707804350559848</v>
      </c>
      <c r="N58" s="11">
        <f aca="true" t="shared" si="41" ref="N58:N77">E$14*E$15*(E$12/E$11)^2*J58*(1-E$33)/E$34^2*(E$20/2/PI())^2/E$19*LN((E$18+E$19*J58)/(E$18+E$19*E$33*J58))</f>
        <v>159.39290088804623</v>
      </c>
      <c r="O58" s="11">
        <f aca="true" t="shared" si="42" ref="O58:O77">(Y58+Z58+AA58+AB58+AC58)/5</f>
        <v>1486.6536674464462</v>
      </c>
      <c r="P58" s="11">
        <f aca="true" t="shared" si="43" ref="P58:P77">(AD58+AE58+AF58+AG58+AH58)/5</f>
        <v>88.03958107759476</v>
      </c>
      <c r="Q58" s="121">
        <f aca="true" t="shared" si="44" ref="Q58:Q77">SUM(K58:P58)</f>
        <v>2137.8289599296663</v>
      </c>
      <c r="R58" s="90">
        <f>Q58*J$29*(A59-A58)</f>
        <v>0.015484416224485252</v>
      </c>
      <c r="S58" s="28"/>
      <c r="T58" s="79">
        <f aca="true" t="shared" si="45" ref="T58:T77">SQRT(($B58-$C58*0.8*$E$5)^2+$D58^2)*$E$29/$E$30</f>
        <v>3.199808643884961</v>
      </c>
      <c r="U58" s="80">
        <f aca="true" t="shared" si="46" ref="U58:U77">SQRT(($B58-$C58*0.4*$E$5)^2+$D58^2)*$E$29/$E$30</f>
        <v>2.431006045932853</v>
      </c>
      <c r="V58" s="80">
        <f aca="true" t="shared" si="47" ref="V58:V77">SQRT(($B58)^2+$D58^2)*$E$29/$E$30</f>
        <v>1.7020974306878407</v>
      </c>
      <c r="W58" s="80">
        <f aca="true" t="shared" si="48" ref="W58:W77">SQRT(($B58+$C58*0.4*$E$5)^2+$D58^2)*$E$29/$E$30</f>
        <v>1.0958152955936964</v>
      </c>
      <c r="X58" s="81">
        <f aca="true" t="shared" si="49" ref="X58:X77">SQRT(($B58+$C58*0.8*$E$5)^2+$D58^2)*$E$29/$E$30</f>
        <v>0.905989454061658</v>
      </c>
      <c r="Y58" s="165">
        <f aca="true" t="shared" si="50" ref="Y58:Y77">$L$36*$E$14*$E$15*$E$17/$E$34*2/3*$E$21/PI()*($E$22*$E$23*LN((T58+$E$23)/($E$33*T58+$E$23))+$E$24*T58*(1-$E$33)+$E$25*T58^2/2*(1-$E$33^2))</f>
        <v>2031.5096195620067</v>
      </c>
      <c r="Z58" s="165">
        <f aca="true" t="shared" si="51" ref="Z58:Z77">$L$36*$E$14*$E$15*$E$17/$E$34*2/3*$E$21/PI()*($E$22*$E$23*LN((U58+$E$23)/($E$33*U58+$E$23))+$E$24*U58*(1-$E$33)+$E$25*U58^2/2*(1-$E$33^2))</f>
        <v>1769.8637576130252</v>
      </c>
      <c r="AA58" s="165">
        <f aca="true" t="shared" si="52" ref="AA58:AA77">$L$36*$E$14*$E$15*$E$17/$E$34*2/3*$E$21/PI()*($E$22*$E$23*LN((V58+$E$23)/($E$33*V58+$E$23))+$E$24*V58*(1-$E$33)+$E$25*V58^2/2*(1-$E$33^2))</f>
        <v>1463.3764909975255</v>
      </c>
      <c r="AB58" s="165">
        <f aca="true" t="shared" si="53" ref="AB58:AB77">$L$36*$E$14*$E$15*$E$17/$E$34*2/3*$E$21/PI()*($E$22*$E$23*LN((W58+$E$23)/($E$33*W58+$E$23))+$E$24*W58*(1-$E$33)+$E$25*W58^2/2*(1-$E$33^2))</f>
        <v>1143.782282839227</v>
      </c>
      <c r="AC58" s="165">
        <f aca="true" t="shared" si="54" ref="AC58:AC77">$L$36*$E$14*$E$15*$E$17/$E$34*2/3*$E$21/PI()*($E$22*$E$23*LN((X58+$E$23)/($E$33*X58+$E$23))+$E$24*X58*(1-$E$33)+$E$25*X58^2/2*(1-$E$33^2))</f>
        <v>1024.736186220446</v>
      </c>
      <c r="AD58" s="172">
        <f aca="true" t="shared" si="55" ref="AD58:AD77">1/9/PI()*$E$21/$E$34*$E$28^2*T58*(3*T58+4*$E$27)/($E$26*$E$27*$E$14*$E$15*$E$17*16*$E$5^2*$E$6^2)</f>
        <v>199.561215561516</v>
      </c>
      <c r="AE58" s="173">
        <f aca="true" t="shared" si="56" ref="AE58:AE77">1/9/PI()*$E$21/$E$34*$E$28^2*U58*(3*U58+4*$E$27)/($E$26*$E$27*$E$14*$E$15*$E$17*16*$E$5^2*$E$6^2)</f>
        <v>121.46704354002893</v>
      </c>
      <c r="AF58" s="173">
        <f aca="true" t="shared" si="57" ref="AF58:AF77">1/9/PI()*$E$21/$E$34*$E$28^2*V58*(3*V58+4*$E$27)/($E$26*$E$27*$E$14*$E$15*$E$17*16*$E$5^2*$E$6^2)</f>
        <v>65.03439735088071</v>
      </c>
      <c r="AG58" s="173">
        <f aca="true" t="shared" si="58" ref="AG58:AG77">1/9/PI()*$E$21/$E$34*$E$28^2*W58*(3*W58+4*$E$27)/($E$26*$E$27*$E$14*$E$15*$E$17*16*$E$5^2*$E$6^2)</f>
        <v>31.15293228835204</v>
      </c>
      <c r="AH58" s="174">
        <f aca="true" t="shared" si="59" ref="AH58:AH77">1/9/PI()*$E$21/$E$34*$E$28^2*X58*(3*X58+4*$E$27)/($E$26*$E$27*$E$14*$E$15*$E$17*16*$E$5^2*$E$6^2)</f>
        <v>22.98231664719616</v>
      </c>
      <c r="AI58" s="28"/>
      <c r="BX58"/>
    </row>
    <row r="59" spans="1:76" ht="16.5">
      <c r="A59" s="18">
        <v>18</v>
      </c>
      <c r="B59" s="4">
        <v>-0.7688376834784396</v>
      </c>
      <c r="C59" s="11">
        <v>227.4487999096361</v>
      </c>
      <c r="D59" s="4">
        <v>-0.4725847095030641</v>
      </c>
      <c r="E59" s="4">
        <f t="shared" si="32"/>
        <v>0.9024675568642835</v>
      </c>
      <c r="F59" s="83">
        <f t="shared" si="33"/>
        <v>0.3624028675363844</v>
      </c>
      <c r="G59" s="86">
        <f t="shared" si="34"/>
        <v>107.2113127078181</v>
      </c>
      <c r="H59" s="88">
        <f t="shared" si="35"/>
        <v>0.22275970280606364</v>
      </c>
      <c r="I59" s="88">
        <f t="shared" si="36"/>
        <v>0.4253912594222406</v>
      </c>
      <c r="J59" s="57">
        <f t="shared" si="37"/>
        <v>1.7013770617100676</v>
      </c>
      <c r="K59" s="11">
        <f t="shared" si="38"/>
        <v>7.770828010063143</v>
      </c>
      <c r="L59" s="11">
        <f t="shared" si="39"/>
        <v>397.0872304178846</v>
      </c>
      <c r="M59" s="15">
        <f t="shared" si="40"/>
        <v>0.7099058840600211</v>
      </c>
      <c r="N59" s="11">
        <f t="shared" si="41"/>
        <v>159.27911042909582</v>
      </c>
      <c r="O59" s="11">
        <f t="shared" si="42"/>
        <v>1490.704732686974</v>
      </c>
      <c r="P59" s="11">
        <f t="shared" si="43"/>
        <v>89.36214645887517</v>
      </c>
      <c r="Q59" s="121">
        <f t="shared" si="44"/>
        <v>2144.9139538869526</v>
      </c>
      <c r="R59" s="90">
        <f aca="true" t="shared" si="60" ref="R59:R76">Q59*J$29</f>
        <v>0.01692093962685497</v>
      </c>
      <c r="S59" s="28"/>
      <c r="T59" s="79">
        <f t="shared" si="45"/>
        <v>3.243111672981924</v>
      </c>
      <c r="U59" s="80">
        <f t="shared" si="46"/>
        <v>2.4515173650049262</v>
      </c>
      <c r="V59" s="80">
        <f t="shared" si="47"/>
        <v>1.7013770617100676</v>
      </c>
      <c r="W59" s="80">
        <f t="shared" si="48"/>
        <v>1.0825954318253301</v>
      </c>
      <c r="X59" s="81">
        <f t="shared" si="49"/>
        <v>0.9175643190579971</v>
      </c>
      <c r="Y59" s="165">
        <f t="shared" si="50"/>
        <v>2044.6926966430917</v>
      </c>
      <c r="Z59" s="165">
        <f t="shared" si="51"/>
        <v>1777.5803639100047</v>
      </c>
      <c r="AA59" s="165">
        <f t="shared" si="52"/>
        <v>1463.0379656763307</v>
      </c>
      <c r="AB59" s="165">
        <f t="shared" si="53"/>
        <v>1135.8622020600599</v>
      </c>
      <c r="AC59" s="165">
        <f t="shared" si="54"/>
        <v>1032.350435145384</v>
      </c>
      <c r="AD59" s="172">
        <f t="shared" si="55"/>
        <v>204.52713352653498</v>
      </c>
      <c r="AE59" s="173">
        <f t="shared" si="56"/>
        <v>123.30299030225416</v>
      </c>
      <c r="AF59" s="173">
        <f t="shared" si="57"/>
        <v>64.98710386068913</v>
      </c>
      <c r="AG59" s="173">
        <f t="shared" si="58"/>
        <v>30.5462546930099</v>
      </c>
      <c r="AH59" s="174">
        <f t="shared" si="59"/>
        <v>23.44724991188769</v>
      </c>
      <c r="AI59" s="28"/>
      <c r="BX59"/>
    </row>
    <row r="60" spans="1:76" ht="16.5">
      <c r="A60" s="18">
        <v>19</v>
      </c>
      <c r="B60" s="4">
        <v>-0.7670354695833996</v>
      </c>
      <c r="C60" s="11">
        <v>231.74178888809186</v>
      </c>
      <c r="D60" s="4">
        <v>-0.5261554631417936</v>
      </c>
      <c r="E60" s="4">
        <f t="shared" si="32"/>
        <v>0.9301521289514859</v>
      </c>
      <c r="F60" s="83">
        <f t="shared" si="33"/>
        <v>0.3615533677037</v>
      </c>
      <c r="G60" s="86">
        <f t="shared" si="34"/>
        <v>109.23487574267821</v>
      </c>
      <c r="H60" s="88">
        <f t="shared" si="35"/>
        <v>0.24801105969445847</v>
      </c>
      <c r="I60" s="88">
        <f t="shared" si="36"/>
        <v>0.43844078668465036</v>
      </c>
      <c r="J60" s="57">
        <f t="shared" si="37"/>
        <v>1.753569404309158</v>
      </c>
      <c r="K60" s="11">
        <f t="shared" si="38"/>
        <v>7.7344398868399855</v>
      </c>
      <c r="L60" s="11">
        <f t="shared" si="39"/>
        <v>397.28939610996133</v>
      </c>
      <c r="M60" s="15">
        <f t="shared" si="40"/>
        <v>0.8799735373786611</v>
      </c>
      <c r="N60" s="11">
        <f t="shared" si="41"/>
        <v>167.59644420183434</v>
      </c>
      <c r="O60" s="11">
        <f t="shared" si="42"/>
        <v>1525.004676763952</v>
      </c>
      <c r="P60" s="11">
        <f t="shared" si="43"/>
        <v>93.8557556433048</v>
      </c>
      <c r="Q60" s="121">
        <f t="shared" si="44"/>
        <v>2192.360686143271</v>
      </c>
      <c r="R60" s="90">
        <f t="shared" si="60"/>
        <v>0.017295240558855444</v>
      </c>
      <c r="S60" s="28"/>
      <c r="T60" s="79">
        <f t="shared" si="45"/>
        <v>3.2990883092260073</v>
      </c>
      <c r="U60" s="80">
        <f t="shared" si="46"/>
        <v>2.501333854157296</v>
      </c>
      <c r="V60" s="80">
        <f t="shared" si="47"/>
        <v>1.753569404309158</v>
      </c>
      <c r="W60" s="80">
        <f t="shared" si="48"/>
        <v>1.157146269664757</v>
      </c>
      <c r="X60" s="81">
        <f t="shared" si="49"/>
        <v>1.0240198000835012</v>
      </c>
      <c r="Y60" s="165">
        <f t="shared" si="50"/>
        <v>2061.5070396749506</v>
      </c>
      <c r="Z60" s="165">
        <f t="shared" si="51"/>
        <v>1796.139922313494</v>
      </c>
      <c r="AA60" s="165">
        <f t="shared" si="52"/>
        <v>1487.3559467413293</v>
      </c>
      <c r="AB60" s="165">
        <f t="shared" si="53"/>
        <v>1179.880864835073</v>
      </c>
      <c r="AC60" s="165">
        <f t="shared" si="54"/>
        <v>1100.1396102549131</v>
      </c>
      <c r="AD60" s="172">
        <f t="shared" si="55"/>
        <v>211.03607971649706</v>
      </c>
      <c r="AE60" s="173">
        <f t="shared" si="56"/>
        <v>127.81852378562738</v>
      </c>
      <c r="AF60" s="173">
        <f t="shared" si="57"/>
        <v>68.45695551044813</v>
      </c>
      <c r="AG60" s="173">
        <f t="shared" si="58"/>
        <v>34.04124564664505</v>
      </c>
      <c r="AH60" s="174">
        <f t="shared" si="59"/>
        <v>27.92597355730645</v>
      </c>
      <c r="AI60" s="28"/>
      <c r="BX60"/>
    </row>
    <row r="61" spans="1:76" ht="16.5">
      <c r="A61" s="18">
        <v>20</v>
      </c>
      <c r="B61" s="4">
        <v>-0.7645686420397677</v>
      </c>
      <c r="C61" s="11">
        <v>234.49299316708385</v>
      </c>
      <c r="D61" s="4">
        <v>-0.5768430116951416</v>
      </c>
      <c r="E61" s="4">
        <f t="shared" si="32"/>
        <v>0.9577646206307977</v>
      </c>
      <c r="F61" s="83">
        <f t="shared" si="33"/>
        <v>0.3603905925240479</v>
      </c>
      <c r="G61" s="86">
        <f t="shared" si="34"/>
        <v>110.53169604859006</v>
      </c>
      <c r="H61" s="88">
        <f t="shared" si="35"/>
        <v>0.2719033757695694</v>
      </c>
      <c r="I61" s="88">
        <f t="shared" si="36"/>
        <v>0.45145633779438965</v>
      </c>
      <c r="J61" s="57">
        <f t="shared" si="37"/>
        <v>1.8056258573112756</v>
      </c>
      <c r="K61" s="11">
        <f t="shared" si="38"/>
        <v>7.684771130429637</v>
      </c>
      <c r="L61" s="11">
        <f t="shared" si="39"/>
        <v>396.2539475106249</v>
      </c>
      <c r="M61" s="15">
        <f t="shared" si="40"/>
        <v>1.0576859011504294</v>
      </c>
      <c r="N61" s="11">
        <f t="shared" si="41"/>
        <v>176.0373971404606</v>
      </c>
      <c r="O61" s="11">
        <f t="shared" si="42"/>
        <v>1556.2619980603195</v>
      </c>
      <c r="P61" s="11">
        <f t="shared" si="43"/>
        <v>98.08016370695933</v>
      </c>
      <c r="Q61" s="121">
        <f t="shared" si="44"/>
        <v>2235.3759634499443</v>
      </c>
      <c r="R61" s="90">
        <f t="shared" si="60"/>
        <v>0.017634582334789924</v>
      </c>
      <c r="S61" s="28"/>
      <c r="T61" s="79">
        <f t="shared" si="45"/>
        <v>3.3437552261560777</v>
      </c>
      <c r="U61" s="80">
        <f t="shared" si="46"/>
        <v>2.5456637395531603</v>
      </c>
      <c r="V61" s="80">
        <f t="shared" si="47"/>
        <v>1.8056258573112756</v>
      </c>
      <c r="W61" s="80">
        <f t="shared" si="48"/>
        <v>1.2330213289282443</v>
      </c>
      <c r="X61" s="81">
        <f t="shared" si="49"/>
        <v>1.1227530707499611</v>
      </c>
      <c r="Y61" s="165">
        <f t="shared" si="50"/>
        <v>2074.742471906777</v>
      </c>
      <c r="Z61" s="165">
        <f t="shared" si="51"/>
        <v>1812.4418190877645</v>
      </c>
      <c r="AA61" s="165">
        <f t="shared" si="52"/>
        <v>1511.1988059218413</v>
      </c>
      <c r="AB61" s="165">
        <f t="shared" si="53"/>
        <v>1223.1609602884844</v>
      </c>
      <c r="AC61" s="165">
        <f t="shared" si="54"/>
        <v>1159.76593309673</v>
      </c>
      <c r="AD61" s="172">
        <f t="shared" si="55"/>
        <v>216.30244701804887</v>
      </c>
      <c r="AE61" s="173">
        <f t="shared" si="56"/>
        <v>131.9040520360214</v>
      </c>
      <c r="AF61" s="173">
        <f t="shared" si="57"/>
        <v>72.00530810341475</v>
      </c>
      <c r="AG61" s="173">
        <f t="shared" si="58"/>
        <v>37.782418964035514</v>
      </c>
      <c r="AH61" s="174">
        <f t="shared" si="59"/>
        <v>32.40659241327607</v>
      </c>
      <c r="AI61" s="28"/>
      <c r="BX61"/>
    </row>
    <row r="62" spans="1:76" ht="16.5">
      <c r="A62" s="18">
        <v>21</v>
      </c>
      <c r="B62" s="4">
        <v>-0.7616067160810989</v>
      </c>
      <c r="C62" s="11">
        <v>236.30574107714503</v>
      </c>
      <c r="D62" s="4">
        <v>-0.62632377474028</v>
      </c>
      <c r="E62" s="4">
        <f t="shared" si="32"/>
        <v>0.986066052952209</v>
      </c>
      <c r="F62" s="83">
        <f t="shared" si="33"/>
        <v>0.3589944454777746</v>
      </c>
      <c r="G62" s="86">
        <f t="shared" si="34"/>
        <v>111.3861612430568</v>
      </c>
      <c r="H62" s="88">
        <f t="shared" si="35"/>
        <v>0.2952268558756917</v>
      </c>
      <c r="I62" s="88">
        <f t="shared" si="36"/>
        <v>0.46479663113467307</v>
      </c>
      <c r="J62" s="57">
        <f t="shared" si="37"/>
        <v>1.858981135735351</v>
      </c>
      <c r="K62" s="11">
        <f t="shared" si="38"/>
        <v>7.6253451153309175</v>
      </c>
      <c r="L62" s="11">
        <f t="shared" si="39"/>
        <v>394.3806048799498</v>
      </c>
      <c r="M62" s="15">
        <f t="shared" si="40"/>
        <v>1.246921860824122</v>
      </c>
      <c r="N62" s="11">
        <f t="shared" si="41"/>
        <v>184.83628365642784</v>
      </c>
      <c r="O62" s="11">
        <f t="shared" si="42"/>
        <v>1585.9373036298632</v>
      </c>
      <c r="P62" s="11">
        <f t="shared" si="43"/>
        <v>102.26476183912439</v>
      </c>
      <c r="Q62" s="121">
        <f t="shared" si="44"/>
        <v>2276.29122098152</v>
      </c>
      <c r="R62" s="90">
        <f t="shared" si="60"/>
        <v>0.017957357335276265</v>
      </c>
      <c r="S62" s="28"/>
      <c r="T62" s="79">
        <f t="shared" si="45"/>
        <v>3.38247720860339</v>
      </c>
      <c r="U62" s="80">
        <f t="shared" si="46"/>
        <v>2.587838236374995</v>
      </c>
      <c r="V62" s="80">
        <f t="shared" si="47"/>
        <v>1.858981135735351</v>
      </c>
      <c r="W62" s="80">
        <f t="shared" si="48"/>
        <v>1.3106732784518529</v>
      </c>
      <c r="X62" s="81">
        <f t="shared" si="49"/>
        <v>1.217812578818245</v>
      </c>
      <c r="Y62" s="165">
        <f t="shared" si="50"/>
        <v>2086.0871695902374</v>
      </c>
      <c r="Z62" s="165">
        <f t="shared" si="51"/>
        <v>1827.767605545478</v>
      </c>
      <c r="AA62" s="165">
        <f t="shared" si="52"/>
        <v>1535.2249867188139</v>
      </c>
      <c r="AB62" s="165">
        <f t="shared" si="53"/>
        <v>1266.004820636786</v>
      </c>
      <c r="AC62" s="165">
        <f t="shared" si="54"/>
        <v>1214.6019356580002</v>
      </c>
      <c r="AD62" s="172">
        <f t="shared" si="55"/>
        <v>220.91997201081676</v>
      </c>
      <c r="AE62" s="173">
        <f t="shared" si="56"/>
        <v>135.84978257240053</v>
      </c>
      <c r="AF62" s="173">
        <f t="shared" si="57"/>
        <v>75.73291328611589</v>
      </c>
      <c r="AG62" s="173">
        <f t="shared" si="58"/>
        <v>41.803503130698964</v>
      </c>
      <c r="AH62" s="174">
        <f t="shared" si="59"/>
        <v>37.01763819558983</v>
      </c>
      <c r="AI62" s="28"/>
      <c r="BX62"/>
    </row>
    <row r="63" spans="1:76" ht="16.5">
      <c r="A63" s="18">
        <v>22</v>
      </c>
      <c r="B63" s="4">
        <v>-0.7579205845403099</v>
      </c>
      <c r="C63" s="11">
        <v>237.4021344915991</v>
      </c>
      <c r="D63" s="4">
        <v>-0.6748782498644672</v>
      </c>
      <c r="E63" s="4">
        <f t="shared" si="32"/>
        <v>1.0148419899718633</v>
      </c>
      <c r="F63" s="83">
        <f t="shared" si="33"/>
        <v>0.3572569335565919</v>
      </c>
      <c r="G63" s="86">
        <f t="shared" si="34"/>
        <v>111.90296228687207</v>
      </c>
      <c r="H63" s="88">
        <f t="shared" si="35"/>
        <v>0.3181137166459897</v>
      </c>
      <c r="I63" s="88">
        <f t="shared" si="36"/>
        <v>0.478360589192488</v>
      </c>
      <c r="J63" s="57">
        <f t="shared" si="37"/>
        <v>1.913230974194437</v>
      </c>
      <c r="K63" s="11">
        <f t="shared" si="38"/>
        <v>7.551711298937558</v>
      </c>
      <c r="L63" s="11">
        <f t="shared" si="39"/>
        <v>391.55820457107495</v>
      </c>
      <c r="M63" s="15">
        <f t="shared" si="40"/>
        <v>1.4477457799202824</v>
      </c>
      <c r="N63" s="11">
        <f t="shared" si="41"/>
        <v>193.9323484582716</v>
      </c>
      <c r="O63" s="11">
        <f t="shared" si="42"/>
        <v>1614.2577060294564</v>
      </c>
      <c r="P63" s="11">
        <f t="shared" si="43"/>
        <v>106.43594093216852</v>
      </c>
      <c r="Q63" s="121">
        <f t="shared" si="44"/>
        <v>2315.1836570698297</v>
      </c>
      <c r="R63" s="90">
        <f t="shared" si="60"/>
        <v>0.01826417456764077</v>
      </c>
      <c r="S63" s="28"/>
      <c r="T63" s="79">
        <f t="shared" si="45"/>
        <v>3.4165255417186486</v>
      </c>
      <c r="U63" s="80">
        <f t="shared" si="46"/>
        <v>2.628304522679319</v>
      </c>
      <c r="V63" s="80">
        <f t="shared" si="47"/>
        <v>1.913230974194437</v>
      </c>
      <c r="W63" s="80">
        <f t="shared" si="48"/>
        <v>1.3892627783314437</v>
      </c>
      <c r="X63" s="81">
        <f t="shared" si="49"/>
        <v>1.310259357477437</v>
      </c>
      <c r="Y63" s="165">
        <f t="shared" si="50"/>
        <v>2095.9643040958586</v>
      </c>
      <c r="Z63" s="165">
        <f t="shared" si="51"/>
        <v>1842.307067448529</v>
      </c>
      <c r="AA63" s="165">
        <f t="shared" si="52"/>
        <v>1559.2415778120844</v>
      </c>
      <c r="AB63" s="165">
        <f t="shared" si="53"/>
        <v>1307.995469334877</v>
      </c>
      <c r="AC63" s="165">
        <f t="shared" si="54"/>
        <v>1265.7801114559313</v>
      </c>
      <c r="AD63" s="172">
        <f t="shared" si="55"/>
        <v>225.0201386017279</v>
      </c>
      <c r="AE63" s="173">
        <f t="shared" si="56"/>
        <v>139.6896393108462</v>
      </c>
      <c r="AF63" s="173">
        <f t="shared" si="57"/>
        <v>79.61717627069204</v>
      </c>
      <c r="AG63" s="173">
        <f t="shared" si="58"/>
        <v>46.07119728020653</v>
      </c>
      <c r="AH63" s="174">
        <f t="shared" si="59"/>
        <v>41.78155319737001</v>
      </c>
      <c r="AI63" s="28"/>
      <c r="BX63"/>
    </row>
    <row r="64" spans="1:76" ht="16.5">
      <c r="A64" s="18">
        <v>23</v>
      </c>
      <c r="B64" s="4">
        <v>-0.7536309780371777</v>
      </c>
      <c r="C64" s="11">
        <v>237.89539745988625</v>
      </c>
      <c r="D64" s="4">
        <v>-0.7229495947682708</v>
      </c>
      <c r="E64" s="4">
        <f t="shared" si="32"/>
        <v>1.044325508466053</v>
      </c>
      <c r="F64" s="83">
        <f t="shared" si="33"/>
        <v>0.3552349649008615</v>
      </c>
      <c r="G64" s="86">
        <f t="shared" si="34"/>
        <v>112.1354689888693</v>
      </c>
      <c r="H64" s="88">
        <f t="shared" si="35"/>
        <v>0.3407728469329582</v>
      </c>
      <c r="I64" s="88">
        <f t="shared" si="36"/>
        <v>0.49225807610938155</v>
      </c>
      <c r="J64" s="57">
        <f t="shared" si="37"/>
        <v>1.9688147807068994</v>
      </c>
      <c r="K64" s="11">
        <f t="shared" si="38"/>
        <v>7.466472289226468</v>
      </c>
      <c r="L64" s="11">
        <f t="shared" si="39"/>
        <v>387.94937406478095</v>
      </c>
      <c r="M64" s="15">
        <f t="shared" si="40"/>
        <v>1.661336020063181</v>
      </c>
      <c r="N64" s="11">
        <f t="shared" si="41"/>
        <v>203.40524432225527</v>
      </c>
      <c r="O64" s="11">
        <f t="shared" si="42"/>
        <v>1641.6225120085207</v>
      </c>
      <c r="P64" s="11">
        <f t="shared" si="43"/>
        <v>110.6558745012876</v>
      </c>
      <c r="Q64" s="121">
        <f t="shared" si="44"/>
        <v>2352.760813206134</v>
      </c>
      <c r="R64" s="90">
        <f t="shared" si="60"/>
        <v>0.018560615732182154</v>
      </c>
      <c r="S64" s="28"/>
      <c r="T64" s="79">
        <f t="shared" si="45"/>
        <v>3.447195728145276</v>
      </c>
      <c r="U64" s="80">
        <f t="shared" si="46"/>
        <v>2.667953225419645</v>
      </c>
      <c r="V64" s="80">
        <f t="shared" si="47"/>
        <v>1.9688147807068994</v>
      </c>
      <c r="W64" s="80">
        <f t="shared" si="48"/>
        <v>1.468989472818525</v>
      </c>
      <c r="X64" s="81">
        <f t="shared" si="49"/>
        <v>1.4010958941457805</v>
      </c>
      <c r="Y64" s="165">
        <f t="shared" si="50"/>
        <v>2104.783295205051</v>
      </c>
      <c r="Z64" s="165">
        <f t="shared" si="51"/>
        <v>1856.3977826691123</v>
      </c>
      <c r="AA64" s="165">
        <f t="shared" si="52"/>
        <v>1583.4319702345629</v>
      </c>
      <c r="AB64" s="165">
        <f t="shared" si="53"/>
        <v>1349.2941769900913</v>
      </c>
      <c r="AC64" s="165">
        <f t="shared" si="54"/>
        <v>1314.205334943786</v>
      </c>
      <c r="AD64" s="172">
        <f t="shared" si="55"/>
        <v>228.74551928050946</v>
      </c>
      <c r="AE64" s="173">
        <f t="shared" si="56"/>
        <v>143.50315184929377</v>
      </c>
      <c r="AF64" s="173">
        <f t="shared" si="57"/>
        <v>83.6954245140635</v>
      </c>
      <c r="AG64" s="173">
        <f t="shared" si="58"/>
        <v>50.60423968762874</v>
      </c>
      <c r="AH64" s="174">
        <f t="shared" si="59"/>
        <v>46.731037174942486</v>
      </c>
      <c r="AI64" s="28"/>
      <c r="BX64"/>
    </row>
    <row r="65" spans="1:76" ht="16.5">
      <c r="A65" s="18">
        <v>24</v>
      </c>
      <c r="B65" s="4">
        <v>-0.7488749448917655</v>
      </c>
      <c r="C65" s="11">
        <v>237.88242897712766</v>
      </c>
      <c r="D65" s="4">
        <v>-0.770882918956559</v>
      </c>
      <c r="E65" s="4">
        <f t="shared" si="32"/>
        <v>1.074743763799367</v>
      </c>
      <c r="F65" s="83">
        <f t="shared" si="33"/>
        <v>0.3529931392372215</v>
      </c>
      <c r="G65" s="86">
        <f t="shared" si="34"/>
        <v>112.12935610517447</v>
      </c>
      <c r="H65" s="88">
        <f t="shared" si="35"/>
        <v>0.36336691914049446</v>
      </c>
      <c r="I65" s="88">
        <f t="shared" si="36"/>
        <v>0.5065961648830388</v>
      </c>
      <c r="J65" s="57">
        <f t="shared" si="37"/>
        <v>2.0261607999490328</v>
      </c>
      <c r="K65" s="11">
        <f t="shared" si="38"/>
        <v>7.372530454215701</v>
      </c>
      <c r="L65" s="11">
        <f t="shared" si="39"/>
        <v>383.72569312078315</v>
      </c>
      <c r="M65" s="15">
        <f t="shared" si="40"/>
        <v>1.8889405493849307</v>
      </c>
      <c r="N65" s="11">
        <f t="shared" si="41"/>
        <v>213.33745162423656</v>
      </c>
      <c r="O65" s="11">
        <f t="shared" si="42"/>
        <v>1668.3595036757058</v>
      </c>
      <c r="P65" s="11">
        <f t="shared" si="43"/>
        <v>114.9864108057632</v>
      </c>
      <c r="Q65" s="121">
        <f t="shared" si="44"/>
        <v>2389.6705302300893</v>
      </c>
      <c r="R65" s="90">
        <f t="shared" si="60"/>
        <v>0.01885179155873448</v>
      </c>
      <c r="S65" s="28"/>
      <c r="T65" s="79">
        <f t="shared" si="45"/>
        <v>3.47568000515109</v>
      </c>
      <c r="U65" s="80">
        <f t="shared" si="46"/>
        <v>2.7076192470486555</v>
      </c>
      <c r="V65" s="80">
        <f t="shared" si="47"/>
        <v>2.0261607999490328</v>
      </c>
      <c r="W65" s="80">
        <f t="shared" si="48"/>
        <v>1.5500736430868058</v>
      </c>
      <c r="X65" s="81">
        <f t="shared" si="49"/>
        <v>1.4911083536132523</v>
      </c>
      <c r="Y65" s="165">
        <f t="shared" si="50"/>
        <v>2112.907806877704</v>
      </c>
      <c r="Z65" s="165">
        <f t="shared" si="51"/>
        <v>1870.3432643716385</v>
      </c>
      <c r="AA65" s="165">
        <f t="shared" si="52"/>
        <v>1607.9618035397061</v>
      </c>
      <c r="AB65" s="165">
        <f t="shared" si="53"/>
        <v>1390.0516281824844</v>
      </c>
      <c r="AC65" s="165">
        <f t="shared" si="54"/>
        <v>1360.5330154069964</v>
      </c>
      <c r="AD65" s="172">
        <f t="shared" si="55"/>
        <v>232.23256534223745</v>
      </c>
      <c r="AE65" s="173">
        <f t="shared" si="56"/>
        <v>147.36907704337574</v>
      </c>
      <c r="AF65" s="173">
        <f t="shared" si="57"/>
        <v>88.00742805834207</v>
      </c>
      <c r="AG65" s="173">
        <f t="shared" si="58"/>
        <v>55.424788234984696</v>
      </c>
      <c r="AH65" s="174">
        <f t="shared" si="59"/>
        <v>51.898195349876005</v>
      </c>
      <c r="AI65" s="28"/>
      <c r="BX65"/>
    </row>
    <row r="66" spans="1:76" ht="16.5">
      <c r="A66" s="18">
        <v>25</v>
      </c>
      <c r="B66" s="4">
        <v>-0.7435059454395301</v>
      </c>
      <c r="C66" s="11">
        <v>237.38808390302393</v>
      </c>
      <c r="D66" s="4">
        <v>-0.8189315282179058</v>
      </c>
      <c r="E66" s="4">
        <f t="shared" si="32"/>
        <v>1.1060967131373476</v>
      </c>
      <c r="F66" s="83">
        <f t="shared" si="33"/>
        <v>0.35046238295523446</v>
      </c>
      <c r="G66" s="86">
        <f t="shared" si="34"/>
        <v>111.89633933680126</v>
      </c>
      <c r="H66" s="88">
        <f t="shared" si="35"/>
        <v>0.38601533265043875</v>
      </c>
      <c r="I66" s="88">
        <f t="shared" si="36"/>
        <v>0.5213748353228129</v>
      </c>
      <c r="J66" s="57">
        <f t="shared" si="37"/>
        <v>2.0852689511671714</v>
      </c>
      <c r="K66" s="11">
        <f t="shared" si="38"/>
        <v>7.267195863306383</v>
      </c>
      <c r="L66" s="11">
        <f t="shared" si="39"/>
        <v>378.77741190979253</v>
      </c>
      <c r="M66" s="15">
        <f t="shared" si="40"/>
        <v>2.1317517436619213</v>
      </c>
      <c r="N66" s="11">
        <f t="shared" si="41"/>
        <v>223.74017924503636</v>
      </c>
      <c r="O66" s="11">
        <f t="shared" si="42"/>
        <v>1694.5934189943364</v>
      </c>
      <c r="P66" s="11">
        <f t="shared" si="43"/>
        <v>119.44460448025941</v>
      </c>
      <c r="Q66" s="121">
        <f t="shared" si="44"/>
        <v>2425.954562236393</v>
      </c>
      <c r="R66" s="90">
        <f t="shared" si="60"/>
        <v>0.019138031439772565</v>
      </c>
      <c r="S66" s="28"/>
      <c r="T66" s="79">
        <f t="shared" si="45"/>
        <v>3.5021734375520346</v>
      </c>
      <c r="U66" s="80">
        <f t="shared" si="46"/>
        <v>2.747418311078639</v>
      </c>
      <c r="V66" s="80">
        <f t="shared" si="47"/>
        <v>2.0852689511671714</v>
      </c>
      <c r="W66" s="80">
        <f t="shared" si="48"/>
        <v>1.6325858184640527</v>
      </c>
      <c r="X66" s="81">
        <f t="shared" si="49"/>
        <v>1.580910163132148</v>
      </c>
      <c r="Y66" s="165">
        <f t="shared" si="50"/>
        <v>2120.407802447138</v>
      </c>
      <c r="Z66" s="165">
        <f t="shared" si="51"/>
        <v>1884.185367765557</v>
      </c>
      <c r="AA66" s="165">
        <f t="shared" si="52"/>
        <v>1632.8057597580328</v>
      </c>
      <c r="AB66" s="165">
        <f t="shared" si="53"/>
        <v>1430.3274524884737</v>
      </c>
      <c r="AC66" s="165">
        <f t="shared" si="54"/>
        <v>1405.24071251248</v>
      </c>
      <c r="AD66" s="172">
        <f t="shared" si="55"/>
        <v>235.4993864060742</v>
      </c>
      <c r="AE66" s="173">
        <f t="shared" si="56"/>
        <v>151.2989824162473</v>
      </c>
      <c r="AF66" s="173">
        <f t="shared" si="57"/>
        <v>92.56296084817329</v>
      </c>
      <c r="AG66" s="173">
        <f t="shared" si="58"/>
        <v>60.54796849384383</v>
      </c>
      <c r="AH66" s="174">
        <f t="shared" si="59"/>
        <v>57.31372423695832</v>
      </c>
      <c r="AI66" s="28"/>
      <c r="BX66"/>
    </row>
    <row r="67" spans="1:76" ht="16.5">
      <c r="A67" s="18">
        <v>26</v>
      </c>
      <c r="B67" s="4">
        <v>-0.7379026729240881</v>
      </c>
      <c r="C67" s="11">
        <v>236.44602626135057</v>
      </c>
      <c r="D67" s="4">
        <v>-0.8674766866019769</v>
      </c>
      <c r="E67" s="4">
        <f t="shared" si="32"/>
        <v>1.1388661714646098</v>
      </c>
      <c r="F67" s="83">
        <f t="shared" si="33"/>
        <v>0.3478211986443969</v>
      </c>
      <c r="G67" s="86">
        <f t="shared" si="34"/>
        <v>111.45228671286851</v>
      </c>
      <c r="H67" s="88">
        <f t="shared" si="35"/>
        <v>0.4088978018392538</v>
      </c>
      <c r="I67" s="88">
        <f t="shared" si="36"/>
        <v>0.5368211979564504</v>
      </c>
      <c r="J67" s="57">
        <f t="shared" si="37"/>
        <v>2.147047576114519</v>
      </c>
      <c r="K67" s="11">
        <f t="shared" si="38"/>
        <v>7.158073293300085</v>
      </c>
      <c r="L67" s="11">
        <f t="shared" si="39"/>
        <v>373.4621358518414</v>
      </c>
      <c r="M67" s="15">
        <f t="shared" si="40"/>
        <v>2.3919773777540794</v>
      </c>
      <c r="N67" s="11">
        <f t="shared" si="41"/>
        <v>234.78831838650794</v>
      </c>
      <c r="O67" s="11">
        <f t="shared" si="42"/>
        <v>1720.7017150651004</v>
      </c>
      <c r="P67" s="11">
        <f t="shared" si="43"/>
        <v>124.12106785361455</v>
      </c>
      <c r="Q67" s="121">
        <f t="shared" si="44"/>
        <v>2462.6232878281185</v>
      </c>
      <c r="R67" s="90">
        <f t="shared" si="60"/>
        <v>0.019427306117111905</v>
      </c>
      <c r="S67" s="28"/>
      <c r="T67" s="79">
        <f t="shared" si="45"/>
        <v>3.527977108252523</v>
      </c>
      <c r="U67" s="80">
        <f t="shared" si="46"/>
        <v>2.788503278452127</v>
      </c>
      <c r="V67" s="80">
        <f t="shared" si="47"/>
        <v>2.147047576114519</v>
      </c>
      <c r="W67" s="80">
        <f t="shared" si="48"/>
        <v>1.7172101667637363</v>
      </c>
      <c r="X67" s="81">
        <f t="shared" si="49"/>
        <v>1.6711501794126058</v>
      </c>
      <c r="Y67" s="165">
        <f t="shared" si="50"/>
        <v>2127.6603081364847</v>
      </c>
      <c r="Z67" s="165">
        <f t="shared" si="51"/>
        <v>1898.319008110945</v>
      </c>
      <c r="AA67" s="165">
        <f t="shared" si="52"/>
        <v>1658.3104541903022</v>
      </c>
      <c r="AB67" s="165">
        <f t="shared" si="53"/>
        <v>1470.4596935487352</v>
      </c>
      <c r="AC67" s="165">
        <f t="shared" si="54"/>
        <v>1448.7591113390356</v>
      </c>
      <c r="AD67" s="172">
        <f t="shared" si="55"/>
        <v>238.70292201541824</v>
      </c>
      <c r="AE67" s="173">
        <f t="shared" si="56"/>
        <v>155.40946479730775</v>
      </c>
      <c r="AF67" s="173">
        <f t="shared" si="57"/>
        <v>97.4447731709534</v>
      </c>
      <c r="AG67" s="173">
        <f t="shared" si="58"/>
        <v>66.03043468432344</v>
      </c>
      <c r="AH67" s="174">
        <f t="shared" si="59"/>
        <v>63.01774460006993</v>
      </c>
      <c r="AI67" s="28"/>
      <c r="BX67"/>
    </row>
    <row r="68" spans="1:76" ht="16.5">
      <c r="A68" s="18">
        <v>27</v>
      </c>
      <c r="B68" s="4">
        <v>-0.7316515309435765</v>
      </c>
      <c r="C68" s="11">
        <v>235.02302523518713</v>
      </c>
      <c r="D68" s="4">
        <v>-0.9167679179694548</v>
      </c>
      <c r="E68" s="4">
        <f t="shared" si="32"/>
        <v>1.17293536827488</v>
      </c>
      <c r="F68" s="83">
        <f t="shared" si="33"/>
        <v>0.34487463160196863</v>
      </c>
      <c r="G68" s="86">
        <f t="shared" si="34"/>
        <v>110.78153440263357</v>
      </c>
      <c r="H68" s="88">
        <f t="shared" si="35"/>
        <v>0.43213194342185</v>
      </c>
      <c r="I68" s="88">
        <f t="shared" si="36"/>
        <v>0.5528802113009097</v>
      </c>
      <c r="J68" s="57">
        <f t="shared" si="37"/>
        <v>2.211276533181168</v>
      </c>
      <c r="K68" s="11">
        <f t="shared" si="38"/>
        <v>7.037307775886412</v>
      </c>
      <c r="L68" s="11">
        <f t="shared" si="39"/>
        <v>367.4149895466726</v>
      </c>
      <c r="M68" s="15">
        <f t="shared" si="40"/>
        <v>2.6715312445355135</v>
      </c>
      <c r="N68" s="11">
        <f t="shared" si="41"/>
        <v>246.46050972914819</v>
      </c>
      <c r="O68" s="11">
        <f t="shared" si="42"/>
        <v>1746.681725718856</v>
      </c>
      <c r="P68" s="11">
        <f t="shared" si="43"/>
        <v>129.00955201500375</v>
      </c>
      <c r="Q68" s="121">
        <f t="shared" si="44"/>
        <v>2499.2756160301024</v>
      </c>
      <c r="R68" s="90">
        <f t="shared" si="60"/>
        <v>0.019716451437634227</v>
      </c>
      <c r="S68" s="28"/>
      <c r="T68" s="79">
        <f t="shared" si="45"/>
        <v>3.5525678480777634</v>
      </c>
      <c r="U68" s="80">
        <f t="shared" si="46"/>
        <v>2.8305129641753735</v>
      </c>
      <c r="V68" s="80">
        <f t="shared" si="47"/>
        <v>2.211276533181168</v>
      </c>
      <c r="W68" s="80">
        <f t="shared" si="48"/>
        <v>1.8040396649448889</v>
      </c>
      <c r="X68" s="81">
        <f t="shared" si="49"/>
        <v>1.7624554632259752</v>
      </c>
      <c r="Y68" s="165">
        <f t="shared" si="50"/>
        <v>2134.5241797729554</v>
      </c>
      <c r="Z68" s="165">
        <f t="shared" si="51"/>
        <v>1912.609332445833</v>
      </c>
      <c r="AA68" s="165">
        <f t="shared" si="52"/>
        <v>1684.3422609185243</v>
      </c>
      <c r="AB68" s="165">
        <f t="shared" si="53"/>
        <v>1510.4782299895437</v>
      </c>
      <c r="AC68" s="165">
        <f t="shared" si="54"/>
        <v>1491.4546254674217</v>
      </c>
      <c r="AD68" s="172">
        <f t="shared" si="55"/>
        <v>241.77586078188693</v>
      </c>
      <c r="AE68" s="173">
        <f t="shared" si="56"/>
        <v>159.66877031809196</v>
      </c>
      <c r="AF68" s="173">
        <f t="shared" si="57"/>
        <v>102.65075959267625</v>
      </c>
      <c r="AG68" s="173">
        <f t="shared" si="58"/>
        <v>71.89589629868013</v>
      </c>
      <c r="AH68" s="174">
        <f t="shared" si="59"/>
        <v>69.05647308368337</v>
      </c>
      <c r="AI68" s="28"/>
      <c r="BX68"/>
    </row>
    <row r="69" spans="1:76" ht="16.5">
      <c r="A69" s="18">
        <v>28</v>
      </c>
      <c r="B69" s="4">
        <v>-0.725054795017682</v>
      </c>
      <c r="C69" s="11">
        <v>233.10995497958777</v>
      </c>
      <c r="D69" s="4">
        <v>-0.9671283960386144</v>
      </c>
      <c r="E69" s="4">
        <f t="shared" si="32"/>
        <v>1.208735616337318</v>
      </c>
      <c r="F69" s="83">
        <f t="shared" si="33"/>
        <v>0.34176516380753336</v>
      </c>
      <c r="G69" s="86">
        <f t="shared" si="34"/>
        <v>109.87978080583915</v>
      </c>
      <c r="H69" s="88">
        <f t="shared" si="35"/>
        <v>0.45587009004884016</v>
      </c>
      <c r="I69" s="88">
        <f t="shared" si="36"/>
        <v>0.569755180927324</v>
      </c>
      <c r="J69" s="57">
        <f t="shared" si="37"/>
        <v>2.2787689548130317</v>
      </c>
      <c r="K69" s="11">
        <f t="shared" si="38"/>
        <v>6.910979933316598</v>
      </c>
      <c r="L69" s="11">
        <f t="shared" si="39"/>
        <v>360.90885119251186</v>
      </c>
      <c r="M69" s="15">
        <f t="shared" si="40"/>
        <v>2.9731013477272796</v>
      </c>
      <c r="N69" s="11">
        <f t="shared" si="41"/>
        <v>258.9252317293948</v>
      </c>
      <c r="O69" s="11">
        <f t="shared" si="42"/>
        <v>1772.8154957238773</v>
      </c>
      <c r="P69" s="11">
        <f t="shared" si="43"/>
        <v>134.193392341696</v>
      </c>
      <c r="Q69" s="121">
        <f t="shared" si="44"/>
        <v>2536.7270522685235</v>
      </c>
      <c r="R69" s="90">
        <f t="shared" si="60"/>
        <v>0.020011900814697087</v>
      </c>
      <c r="S69" s="28"/>
      <c r="T69" s="79">
        <f t="shared" si="45"/>
        <v>3.5769121186622583</v>
      </c>
      <c r="U69" s="80">
        <f t="shared" si="46"/>
        <v>2.874397406605634</v>
      </c>
      <c r="V69" s="80">
        <f t="shared" si="47"/>
        <v>2.2787689548130317</v>
      </c>
      <c r="W69" s="80">
        <f t="shared" si="48"/>
        <v>1.893721943577876</v>
      </c>
      <c r="X69" s="81">
        <f t="shared" si="49"/>
        <v>1.85535576146659</v>
      </c>
      <c r="Y69" s="165">
        <f t="shared" si="50"/>
        <v>2141.2735988690533</v>
      </c>
      <c r="Z69" s="165">
        <f t="shared" si="51"/>
        <v>1927.3653484765</v>
      </c>
      <c r="AA69" s="165">
        <f t="shared" si="52"/>
        <v>1711.181326060473</v>
      </c>
      <c r="AB69" s="165">
        <f t="shared" si="53"/>
        <v>1550.6518487379333</v>
      </c>
      <c r="AC69" s="165">
        <f t="shared" si="54"/>
        <v>1533.6053564754266</v>
      </c>
      <c r="AD69" s="172">
        <f t="shared" si="55"/>
        <v>244.83721552421056</v>
      </c>
      <c r="AE69" s="173">
        <f t="shared" si="56"/>
        <v>164.17895593160475</v>
      </c>
      <c r="AF69" s="173">
        <f t="shared" si="57"/>
        <v>108.26466115201531</v>
      </c>
      <c r="AG69" s="173">
        <f t="shared" si="58"/>
        <v>78.20940650638413</v>
      </c>
      <c r="AH69" s="174">
        <f t="shared" si="59"/>
        <v>75.47672259426537</v>
      </c>
      <c r="AI69" s="28"/>
      <c r="BX69"/>
    </row>
    <row r="70" spans="1:76" ht="16.5">
      <c r="A70" s="18">
        <v>29</v>
      </c>
      <c r="B70" s="4">
        <v>-0.7179155992224899</v>
      </c>
      <c r="C70" s="11">
        <v>230.61392478009316</v>
      </c>
      <c r="D70" s="4">
        <v>-1.0189111298928748</v>
      </c>
      <c r="E70" s="4">
        <f t="shared" si="32"/>
        <v>1.246427975547148</v>
      </c>
      <c r="F70" s="83">
        <f t="shared" si="33"/>
        <v>0.3383999996335092</v>
      </c>
      <c r="G70" s="86">
        <f t="shared" si="34"/>
        <v>108.70324052797224</v>
      </c>
      <c r="H70" s="88">
        <f t="shared" si="35"/>
        <v>0.48027863770580953</v>
      </c>
      <c r="I70" s="88">
        <f t="shared" si="36"/>
        <v>0.5875220247688654</v>
      </c>
      <c r="J70" s="57">
        <f t="shared" si="37"/>
        <v>2.3498284791954522</v>
      </c>
      <c r="K70" s="11">
        <f t="shared" si="38"/>
        <v>6.77555311125267</v>
      </c>
      <c r="L70" s="11">
        <f t="shared" si="39"/>
        <v>353.75025547557465</v>
      </c>
      <c r="M70" s="15">
        <f t="shared" si="40"/>
        <v>3.3000008856531777</v>
      </c>
      <c r="N70" s="11">
        <f t="shared" si="41"/>
        <v>272.26444656517424</v>
      </c>
      <c r="O70" s="11">
        <f t="shared" si="42"/>
        <v>1799.1982340779916</v>
      </c>
      <c r="P70" s="11">
        <f t="shared" si="43"/>
        <v>139.70353793769445</v>
      </c>
      <c r="Q70" s="121">
        <f t="shared" si="44"/>
        <v>2574.9920280533406</v>
      </c>
      <c r="R70" s="90">
        <f t="shared" si="60"/>
        <v>0.02031376809655453</v>
      </c>
      <c r="S70" s="28"/>
      <c r="T70" s="79">
        <f t="shared" si="45"/>
        <v>3.600732480344677</v>
      </c>
      <c r="U70" s="80">
        <f t="shared" si="46"/>
        <v>2.9202190369089833</v>
      </c>
      <c r="V70" s="80">
        <f t="shared" si="47"/>
        <v>2.3498284791954522</v>
      </c>
      <c r="W70" s="80">
        <f t="shared" si="48"/>
        <v>1.9867859394877627</v>
      </c>
      <c r="X70" s="81">
        <f t="shared" si="49"/>
        <v>1.9505262588979457</v>
      </c>
      <c r="Y70" s="165">
        <f t="shared" si="50"/>
        <v>2147.8339943767533</v>
      </c>
      <c r="Z70" s="165">
        <f t="shared" si="51"/>
        <v>1942.5875957059607</v>
      </c>
      <c r="AA70" s="165">
        <f t="shared" si="52"/>
        <v>1738.8859879280237</v>
      </c>
      <c r="AB70" s="165">
        <f t="shared" si="53"/>
        <v>1591.165195522281</v>
      </c>
      <c r="AC70" s="165">
        <f t="shared" si="54"/>
        <v>1575.5183968569404</v>
      </c>
      <c r="AD70" s="172">
        <f t="shared" si="55"/>
        <v>247.8511934122099</v>
      </c>
      <c r="AE70" s="173">
        <f t="shared" si="56"/>
        <v>168.95453675687796</v>
      </c>
      <c r="AF70" s="173">
        <f t="shared" si="57"/>
        <v>114.33407587377872</v>
      </c>
      <c r="AG70" s="173">
        <f t="shared" si="58"/>
        <v>85.03531109646728</v>
      </c>
      <c r="AH70" s="174">
        <f t="shared" si="59"/>
        <v>82.34257254913848</v>
      </c>
      <c r="AI70" s="28"/>
      <c r="BX70"/>
    </row>
    <row r="71" spans="1:76" ht="16.5">
      <c r="A71" s="18">
        <v>30</v>
      </c>
      <c r="B71" s="4">
        <v>-0.7102502150156997</v>
      </c>
      <c r="C71" s="11">
        <v>227.50587821073148</v>
      </c>
      <c r="D71" s="4">
        <v>-1.072381236051545</v>
      </c>
      <c r="E71" s="4">
        <f t="shared" si="32"/>
        <v>1.2862569274314084</v>
      </c>
      <c r="F71" s="83">
        <f t="shared" si="33"/>
        <v>0.33478680886905476</v>
      </c>
      <c r="G71" s="86">
        <f t="shared" si="34"/>
        <v>107.23821739841219</v>
      </c>
      <c r="H71" s="88">
        <f t="shared" si="35"/>
        <v>0.5054825529349728</v>
      </c>
      <c r="I71" s="88">
        <f t="shared" si="36"/>
        <v>0.6062959827628605</v>
      </c>
      <c r="J71" s="57">
        <f t="shared" si="37"/>
        <v>2.4249160151544045</v>
      </c>
      <c r="K71" s="11">
        <f t="shared" si="38"/>
        <v>6.631636629095571</v>
      </c>
      <c r="L71" s="11">
        <f t="shared" si="39"/>
        <v>345.96237746916245</v>
      </c>
      <c r="M71" s="15">
        <f t="shared" si="40"/>
        <v>3.6554416568159733</v>
      </c>
      <c r="N71" s="11">
        <f t="shared" si="41"/>
        <v>286.59440373239806</v>
      </c>
      <c r="O71" s="11">
        <f t="shared" si="42"/>
        <v>1825.9761789479558</v>
      </c>
      <c r="P71" s="11">
        <f t="shared" si="43"/>
        <v>145.60392538546222</v>
      </c>
      <c r="Q71" s="121">
        <f t="shared" si="44"/>
        <v>2614.42396382089</v>
      </c>
      <c r="R71" s="90">
        <f t="shared" si="60"/>
        <v>0.020624841369812696</v>
      </c>
      <c r="S71" s="28"/>
      <c r="T71" s="79">
        <f t="shared" si="45"/>
        <v>3.624522595263168</v>
      </c>
      <c r="U71" s="80">
        <f t="shared" si="46"/>
        <v>2.9685097482818956</v>
      </c>
      <c r="V71" s="80">
        <f t="shared" si="47"/>
        <v>2.4249160151544045</v>
      </c>
      <c r="W71" s="80">
        <f t="shared" si="48"/>
        <v>2.0836666499937735</v>
      </c>
      <c r="X71" s="81">
        <f t="shared" si="49"/>
        <v>2.048510973579717</v>
      </c>
      <c r="Y71" s="165">
        <f t="shared" si="50"/>
        <v>2154.3430397539123</v>
      </c>
      <c r="Z71" s="165">
        <f t="shared" si="51"/>
        <v>1958.4281137200524</v>
      </c>
      <c r="AA71" s="165">
        <f t="shared" si="52"/>
        <v>1767.5641116617783</v>
      </c>
      <c r="AB71" s="165">
        <f t="shared" si="53"/>
        <v>1632.1380517068776</v>
      </c>
      <c r="AC71" s="165">
        <f t="shared" si="54"/>
        <v>1617.4075778971592</v>
      </c>
      <c r="AD71" s="172">
        <f t="shared" si="55"/>
        <v>250.87961408420472</v>
      </c>
      <c r="AE71" s="173">
        <f t="shared" si="56"/>
        <v>174.0607552079646</v>
      </c>
      <c r="AF71" s="173">
        <f t="shared" si="57"/>
        <v>120.92454436550523</v>
      </c>
      <c r="AG71" s="173">
        <f t="shared" si="58"/>
        <v>92.43798341079138</v>
      </c>
      <c r="AH71" s="174">
        <f t="shared" si="59"/>
        <v>89.71672985884524</v>
      </c>
      <c r="AI71" s="28"/>
      <c r="BX71"/>
    </row>
    <row r="72" spans="1:76" ht="16.5">
      <c r="A72" s="18">
        <v>31</v>
      </c>
      <c r="B72" s="4">
        <v>-0.7022009474414048</v>
      </c>
      <c r="C72" s="11">
        <v>223.56423801738163</v>
      </c>
      <c r="D72" s="4">
        <v>-1.1280864983109464</v>
      </c>
      <c r="E72" s="4">
        <f t="shared" si="32"/>
        <v>1.3287833977962924</v>
      </c>
      <c r="F72" s="83">
        <f t="shared" si="33"/>
        <v>0.3309926690744307</v>
      </c>
      <c r="G72" s="86">
        <f t="shared" si="34"/>
        <v>105.38026774328617</v>
      </c>
      <c r="H72" s="88">
        <f t="shared" si="35"/>
        <v>0.5317400416266539</v>
      </c>
      <c r="I72" s="88">
        <f t="shared" si="36"/>
        <v>0.6263414554778657</v>
      </c>
      <c r="J72" s="57">
        <f t="shared" si="37"/>
        <v>2.50508904812825</v>
      </c>
      <c r="K72" s="11">
        <f t="shared" si="38"/>
        <v>6.482175665189825</v>
      </c>
      <c r="L72" s="11">
        <f t="shared" si="39"/>
        <v>337.5957656540879</v>
      </c>
      <c r="M72" s="15">
        <f t="shared" si="40"/>
        <v>4.045071911259362</v>
      </c>
      <c r="N72" s="11">
        <f t="shared" si="41"/>
        <v>302.154342272562</v>
      </c>
      <c r="O72" s="11">
        <f t="shared" si="42"/>
        <v>1853.3845018899597</v>
      </c>
      <c r="P72" s="11">
        <f t="shared" si="43"/>
        <v>151.97901015808884</v>
      </c>
      <c r="Q72" s="121">
        <f t="shared" si="44"/>
        <v>2655.6408675511475</v>
      </c>
      <c r="R72" s="90">
        <f t="shared" si="60"/>
        <v>0.020949996016861226</v>
      </c>
      <c r="S72" s="28"/>
      <c r="T72" s="79">
        <f t="shared" si="45"/>
        <v>3.6482133416018003</v>
      </c>
      <c r="U72" s="80">
        <f t="shared" si="46"/>
        <v>3.019893248750807</v>
      </c>
      <c r="V72" s="80">
        <f t="shared" si="47"/>
        <v>2.50508904812825</v>
      </c>
      <c r="W72" s="80">
        <f t="shared" si="48"/>
        <v>2.1855453098587505</v>
      </c>
      <c r="X72" s="81">
        <f t="shared" si="49"/>
        <v>2.150155045812076</v>
      </c>
      <c r="Y72" s="165">
        <f t="shared" si="50"/>
        <v>2160.782359560721</v>
      </c>
      <c r="Z72" s="165">
        <f t="shared" si="51"/>
        <v>1975.058626439758</v>
      </c>
      <c r="AA72" s="165">
        <f t="shared" si="52"/>
        <v>1797.5286028149003</v>
      </c>
      <c r="AB72" s="165">
        <f t="shared" si="53"/>
        <v>1673.9717735461404</v>
      </c>
      <c r="AC72" s="165">
        <f t="shared" si="54"/>
        <v>1659.5811470882775</v>
      </c>
      <c r="AD72" s="172">
        <f t="shared" si="55"/>
        <v>253.9135294401249</v>
      </c>
      <c r="AE72" s="173">
        <f t="shared" si="56"/>
        <v>179.57661457665012</v>
      </c>
      <c r="AF72" s="173">
        <f t="shared" si="57"/>
        <v>128.16215207288002</v>
      </c>
      <c r="AG72" s="173">
        <f t="shared" si="58"/>
        <v>100.54917364956633</v>
      </c>
      <c r="AH72" s="174">
        <f t="shared" si="59"/>
        <v>97.69358105122285</v>
      </c>
      <c r="AI72" s="28"/>
      <c r="BX72"/>
    </row>
    <row r="73" spans="1:76" ht="16.5">
      <c r="A73" s="18">
        <v>32</v>
      </c>
      <c r="B73" s="4">
        <v>-0.6934456903989243</v>
      </c>
      <c r="C73" s="11">
        <v>218.6426703280376</v>
      </c>
      <c r="D73" s="4">
        <v>-1.1866289424589562</v>
      </c>
      <c r="E73" s="4">
        <f t="shared" si="32"/>
        <v>1.374392655908093</v>
      </c>
      <c r="F73" s="83">
        <f t="shared" si="33"/>
        <v>0.3268657508361651</v>
      </c>
      <c r="G73" s="86">
        <f t="shared" si="34"/>
        <v>103.06041495547377</v>
      </c>
      <c r="H73" s="88">
        <f t="shared" si="35"/>
        <v>0.5593348774258573</v>
      </c>
      <c r="I73" s="88">
        <f t="shared" si="36"/>
        <v>0.6478400452076799</v>
      </c>
      <c r="J73" s="57">
        <f t="shared" si="37"/>
        <v>2.5910739070440165</v>
      </c>
      <c r="K73" s="11">
        <f t="shared" si="38"/>
        <v>6.321539862229457</v>
      </c>
      <c r="L73" s="11">
        <f t="shared" si="39"/>
        <v>328.35636445329874</v>
      </c>
      <c r="M73" s="15">
        <f t="shared" si="40"/>
        <v>4.475806653963307</v>
      </c>
      <c r="N73" s="11">
        <f t="shared" si="41"/>
        <v>319.1322563563409</v>
      </c>
      <c r="O73" s="11">
        <f t="shared" si="42"/>
        <v>1881.6130489559916</v>
      </c>
      <c r="P73" s="11">
        <f t="shared" si="43"/>
        <v>158.91698941054577</v>
      </c>
      <c r="Q73" s="121">
        <f t="shared" si="44"/>
        <v>2698.81600569237</v>
      </c>
      <c r="R73" s="90">
        <f t="shared" si="60"/>
        <v>0.02129059891356244</v>
      </c>
      <c r="S73" s="28"/>
      <c r="T73" s="79">
        <f t="shared" si="45"/>
        <v>3.6717726468539507</v>
      </c>
      <c r="U73" s="80">
        <f t="shared" si="46"/>
        <v>3.0747960572988693</v>
      </c>
      <c r="V73" s="80">
        <f t="shared" si="47"/>
        <v>2.5910739070440165</v>
      </c>
      <c r="W73" s="80">
        <f t="shared" si="48"/>
        <v>2.2934240697123336</v>
      </c>
      <c r="X73" s="81">
        <f t="shared" si="49"/>
        <v>2.2567145830377604</v>
      </c>
      <c r="Y73" s="165">
        <f t="shared" si="50"/>
        <v>2167.1440357843876</v>
      </c>
      <c r="Z73" s="165">
        <f t="shared" si="51"/>
        <v>1992.5759453631815</v>
      </c>
      <c r="AA73" s="165">
        <f t="shared" si="52"/>
        <v>1828.9361077754984</v>
      </c>
      <c r="AB73" s="165">
        <f t="shared" si="53"/>
        <v>1716.9408966405892</v>
      </c>
      <c r="AC73" s="165">
        <f t="shared" si="54"/>
        <v>1702.4682592163012</v>
      </c>
      <c r="AD73" s="172">
        <f t="shared" si="55"/>
        <v>256.9485676874317</v>
      </c>
      <c r="AE73" s="173">
        <f t="shared" si="56"/>
        <v>185.5643865710816</v>
      </c>
      <c r="AF73" s="173">
        <f t="shared" si="57"/>
        <v>136.1548731001761</v>
      </c>
      <c r="AG73" s="173">
        <f t="shared" si="58"/>
        <v>109.50306669439352</v>
      </c>
      <c r="AH73" s="174">
        <f t="shared" si="59"/>
        <v>106.41405299964579</v>
      </c>
      <c r="AI73" s="28"/>
      <c r="BX73"/>
    </row>
    <row r="74" spans="1:76" ht="16.5">
      <c r="A74" s="18">
        <v>33</v>
      </c>
      <c r="B74" s="4">
        <v>-0.68417335829729</v>
      </c>
      <c r="C74" s="11">
        <v>212.54789818753315</v>
      </c>
      <c r="D74" s="4">
        <v>-1.2484668110260242</v>
      </c>
      <c r="E74" s="4">
        <f t="shared" si="32"/>
        <v>1.4236441136875755</v>
      </c>
      <c r="F74" s="83">
        <f t="shared" si="33"/>
        <v>0.32249510171920337</v>
      </c>
      <c r="G74" s="86">
        <f t="shared" si="34"/>
        <v>100.18755512021359</v>
      </c>
      <c r="H74" s="88">
        <f t="shared" si="35"/>
        <v>0.5884830596398888</v>
      </c>
      <c r="I74" s="88">
        <f t="shared" si="36"/>
        <v>0.6710554389288594</v>
      </c>
      <c r="J74" s="57">
        <f t="shared" si="37"/>
        <v>2.6839252232873934</v>
      </c>
      <c r="K74" s="11">
        <f t="shared" si="38"/>
        <v>6.153614578302073</v>
      </c>
      <c r="L74" s="11">
        <f t="shared" si="39"/>
        <v>318.369018710739</v>
      </c>
      <c r="M74" s="15">
        <f t="shared" si="40"/>
        <v>4.954449970651379</v>
      </c>
      <c r="N74" s="11">
        <f t="shared" si="41"/>
        <v>337.7938432789184</v>
      </c>
      <c r="O74" s="11">
        <f t="shared" si="42"/>
        <v>1910.8827902058413</v>
      </c>
      <c r="P74" s="11">
        <f t="shared" si="43"/>
        <v>166.54402947210144</v>
      </c>
      <c r="Q74" s="121">
        <f t="shared" si="44"/>
        <v>2744.6977462165537</v>
      </c>
      <c r="R74" s="90">
        <f t="shared" si="60"/>
        <v>0.02165255383486725</v>
      </c>
      <c r="S74" s="28"/>
      <c r="T74" s="79">
        <f t="shared" si="45"/>
        <v>3.695777353886658</v>
      </c>
      <c r="U74" s="80">
        <f t="shared" si="46"/>
        <v>3.134176970916997</v>
      </c>
      <c r="V74" s="80">
        <f t="shared" si="47"/>
        <v>2.6839252232873934</v>
      </c>
      <c r="W74" s="80">
        <f t="shared" si="48"/>
        <v>2.4083060866544743</v>
      </c>
      <c r="X74" s="81">
        <f t="shared" si="49"/>
        <v>2.3690749446740917</v>
      </c>
      <c r="Y74" s="165">
        <f t="shared" si="50"/>
        <v>2173.5831710558605</v>
      </c>
      <c r="Z74" s="165">
        <f t="shared" si="51"/>
        <v>2011.2329475054603</v>
      </c>
      <c r="AA74" s="165">
        <f t="shared" si="52"/>
        <v>1862.0311925281785</v>
      </c>
      <c r="AB74" s="165">
        <f t="shared" si="53"/>
        <v>1761.2721591491716</v>
      </c>
      <c r="AC74" s="165">
        <f t="shared" si="54"/>
        <v>1746.2944807905349</v>
      </c>
      <c r="AD74" s="172">
        <f t="shared" si="55"/>
        <v>260.0594017210866</v>
      </c>
      <c r="AE74" s="173">
        <f t="shared" si="56"/>
        <v>192.1500097531502</v>
      </c>
      <c r="AF74" s="173">
        <f t="shared" si="57"/>
        <v>145.05370856369552</v>
      </c>
      <c r="AG74" s="173">
        <f t="shared" si="58"/>
        <v>119.45101579362084</v>
      </c>
      <c r="AH74" s="174">
        <f t="shared" si="59"/>
        <v>116.00601152895399</v>
      </c>
      <c r="AI74" s="28"/>
      <c r="BX74"/>
    </row>
    <row r="75" spans="1:76" ht="16.5">
      <c r="A75" s="18">
        <v>34</v>
      </c>
      <c r="B75" s="4">
        <v>-0.6739838818223287</v>
      </c>
      <c r="C75" s="11">
        <v>204.83970364331694</v>
      </c>
      <c r="D75" s="4">
        <v>-1.3146950729765248</v>
      </c>
      <c r="E75" s="4">
        <f t="shared" si="32"/>
        <v>1.4773887125144298</v>
      </c>
      <c r="F75" s="83">
        <f t="shared" si="33"/>
        <v>0.31769214321109057</v>
      </c>
      <c r="G75" s="86">
        <f t="shared" si="34"/>
        <v>96.55418507816023</v>
      </c>
      <c r="H75" s="88">
        <f t="shared" si="35"/>
        <v>0.619700717877221</v>
      </c>
      <c r="I75" s="88">
        <f t="shared" si="36"/>
        <v>0.6963887402849068</v>
      </c>
      <c r="J75" s="57">
        <f t="shared" si="37"/>
        <v>2.785247234188857</v>
      </c>
      <c r="K75" s="11">
        <f t="shared" si="38"/>
        <v>5.97168643050116</v>
      </c>
      <c r="L75" s="11">
        <f t="shared" si="39"/>
        <v>307.20411072873753</v>
      </c>
      <c r="M75" s="15">
        <f t="shared" si="40"/>
        <v>5.494036175732845</v>
      </c>
      <c r="N75" s="11">
        <f t="shared" si="41"/>
        <v>358.5352047330229</v>
      </c>
      <c r="O75" s="11">
        <f t="shared" si="42"/>
        <v>1941.5233576017904</v>
      </c>
      <c r="P75" s="11">
        <f t="shared" si="43"/>
        <v>175.0192323247482</v>
      </c>
      <c r="Q75" s="121">
        <f t="shared" si="44"/>
        <v>2793.747627994533</v>
      </c>
      <c r="R75" s="90">
        <f t="shared" si="60"/>
        <v>0.02203950179926718</v>
      </c>
      <c r="S75" s="28"/>
      <c r="T75" s="79">
        <f t="shared" si="45"/>
        <v>3.719685634683989</v>
      </c>
      <c r="U75" s="80">
        <f t="shared" si="46"/>
        <v>3.198763406673896</v>
      </c>
      <c r="V75" s="80">
        <f t="shared" si="47"/>
        <v>2.785247234188857</v>
      </c>
      <c r="W75" s="80">
        <f t="shared" si="48"/>
        <v>2.532312321163503</v>
      </c>
      <c r="X75" s="81">
        <f t="shared" si="49"/>
        <v>2.489397103909987</v>
      </c>
      <c r="Y75" s="165">
        <f t="shared" si="50"/>
        <v>2179.953666616327</v>
      </c>
      <c r="Z75" s="165">
        <f t="shared" si="51"/>
        <v>2031.1895011946717</v>
      </c>
      <c r="AA75" s="165">
        <f t="shared" si="52"/>
        <v>1897.2046193846518</v>
      </c>
      <c r="AB75" s="165">
        <f t="shared" si="53"/>
        <v>1807.5529081017794</v>
      </c>
      <c r="AC75" s="165">
        <f t="shared" si="54"/>
        <v>1791.7160927115224</v>
      </c>
      <c r="AD75" s="172">
        <f t="shared" si="55"/>
        <v>263.17621692092933</v>
      </c>
      <c r="AE75" s="173">
        <f t="shared" si="56"/>
        <v>199.4420972319036</v>
      </c>
      <c r="AF75" s="173">
        <f t="shared" si="57"/>
        <v>155.08171621942466</v>
      </c>
      <c r="AG75" s="173">
        <f t="shared" si="58"/>
        <v>130.6668879005545</v>
      </c>
      <c r="AH75" s="174">
        <f t="shared" si="59"/>
        <v>126.72924335092908</v>
      </c>
      <c r="AI75" s="28"/>
      <c r="BX75"/>
    </row>
    <row r="76" spans="1:76" ht="16.5">
      <c r="A76" s="18">
        <v>35</v>
      </c>
      <c r="B76" s="4">
        <v>-0.6632441842624921</v>
      </c>
      <c r="C76" s="11">
        <v>195.01696203664585</v>
      </c>
      <c r="D76" s="4">
        <v>-1.3862719757944502</v>
      </c>
      <c r="E76" s="4">
        <f t="shared" si="32"/>
        <v>1.536763755048598</v>
      </c>
      <c r="F76" s="83">
        <f t="shared" si="33"/>
        <v>0.3126298299611087</v>
      </c>
      <c r="G76" s="86">
        <f t="shared" si="34"/>
        <v>91.92409240473525</v>
      </c>
      <c r="H76" s="88">
        <f t="shared" si="35"/>
        <v>0.6534395360803441</v>
      </c>
      <c r="I76" s="88">
        <f t="shared" si="36"/>
        <v>0.724376033489794</v>
      </c>
      <c r="J76" s="57">
        <f t="shared" si="37"/>
        <v>2.897184039714249</v>
      </c>
      <c r="K76" s="11">
        <f t="shared" si="38"/>
        <v>5.782889248194597</v>
      </c>
      <c r="L76" s="11">
        <f t="shared" si="39"/>
        <v>295.0691706193834</v>
      </c>
      <c r="M76" s="15">
        <f t="shared" si="40"/>
        <v>6.108552794352758</v>
      </c>
      <c r="N76" s="11">
        <f t="shared" si="41"/>
        <v>381.89332426147223</v>
      </c>
      <c r="O76" s="11">
        <f t="shared" si="42"/>
        <v>1973.9649287853106</v>
      </c>
      <c r="P76" s="11">
        <f t="shared" si="43"/>
        <v>184.5924865099443</v>
      </c>
      <c r="Q76" s="121">
        <f t="shared" si="44"/>
        <v>2847.4113522186576</v>
      </c>
      <c r="R76" s="90">
        <f t="shared" si="60"/>
        <v>0.022462847750326465</v>
      </c>
      <c r="S76" s="28"/>
      <c r="T76" s="79">
        <f t="shared" si="45"/>
        <v>3.7442726603211787</v>
      </c>
      <c r="U76" s="80">
        <f t="shared" si="46"/>
        <v>3.270282293850442</v>
      </c>
      <c r="V76" s="80">
        <f t="shared" si="47"/>
        <v>2.897184039714249</v>
      </c>
      <c r="W76" s="80">
        <f t="shared" si="48"/>
        <v>2.667651587133978</v>
      </c>
      <c r="X76" s="81">
        <f t="shared" si="49"/>
        <v>2.619697534556629</v>
      </c>
      <c r="Y76" s="165">
        <f t="shared" si="50"/>
        <v>2186.460680173384</v>
      </c>
      <c r="Z76" s="165">
        <f t="shared" si="51"/>
        <v>2052.8860527988595</v>
      </c>
      <c r="AA76" s="165">
        <f t="shared" si="52"/>
        <v>1934.958704956639</v>
      </c>
      <c r="AB76" s="165">
        <f t="shared" si="53"/>
        <v>1856.2911574440386</v>
      </c>
      <c r="AC76" s="165">
        <f t="shared" si="54"/>
        <v>1839.2280485536323</v>
      </c>
      <c r="AD76" s="172">
        <f t="shared" si="55"/>
        <v>266.4007498409065</v>
      </c>
      <c r="AE76" s="173">
        <f t="shared" si="56"/>
        <v>207.67390037566653</v>
      </c>
      <c r="AF76" s="173">
        <f t="shared" si="57"/>
        <v>166.54533742941442</v>
      </c>
      <c r="AG76" s="173">
        <f t="shared" si="58"/>
        <v>143.47394807452574</v>
      </c>
      <c r="AH76" s="174">
        <f t="shared" si="59"/>
        <v>138.86849682920834</v>
      </c>
      <c r="AI76" s="28"/>
      <c r="BX76"/>
    </row>
    <row r="77" spans="1:76" ht="16.5">
      <c r="A77" s="15">
        <f>J25</f>
        <v>36.23820889210402</v>
      </c>
      <c r="B77" s="4">
        <v>-0.6526372462371004</v>
      </c>
      <c r="C77" s="11">
        <v>181.6577317804412</v>
      </c>
      <c r="D77" s="4">
        <v>-1.463643292735403</v>
      </c>
      <c r="E77" s="4">
        <f t="shared" si="32"/>
        <v>1.6025564150897398</v>
      </c>
      <c r="F77" s="83">
        <f t="shared" si="33"/>
        <v>0.3076300948560454</v>
      </c>
      <c r="G77" s="86">
        <f t="shared" si="34"/>
        <v>85.62702417178467</v>
      </c>
      <c r="H77" s="88">
        <f t="shared" si="35"/>
        <v>0.6899096359818067</v>
      </c>
      <c r="I77" s="88">
        <f t="shared" si="36"/>
        <v>0.7553883644071363</v>
      </c>
      <c r="J77" s="57">
        <f t="shared" si="37"/>
        <v>3.021219659356719</v>
      </c>
      <c r="K77" s="11">
        <f t="shared" si="38"/>
        <v>5.599402474863101</v>
      </c>
      <c r="L77" s="11">
        <f t="shared" si="39"/>
        <v>282.1440856629941</v>
      </c>
      <c r="M77" s="15">
        <f t="shared" si="40"/>
        <v>6.809448471104412</v>
      </c>
      <c r="N77" s="11">
        <f t="shared" si="41"/>
        <v>408.3025710366551</v>
      </c>
      <c r="O77" s="11">
        <f t="shared" si="42"/>
        <v>2008.120198849359</v>
      </c>
      <c r="P77" s="11">
        <f t="shared" si="43"/>
        <v>195.35477115098706</v>
      </c>
      <c r="Q77" s="121">
        <f t="shared" si="44"/>
        <v>2906.3304776459627</v>
      </c>
      <c r="R77" s="90">
        <f>Q77*J$29*(A77-A76)</f>
        <v>0.028389223645544404</v>
      </c>
      <c r="S77" s="28"/>
      <c r="T77" s="79">
        <f t="shared" si="45"/>
        <v>3.7662076409337395</v>
      </c>
      <c r="U77" s="80">
        <f t="shared" si="46"/>
        <v>3.3484163933512088</v>
      </c>
      <c r="V77" s="80">
        <f t="shared" si="47"/>
        <v>3.021219659356719</v>
      </c>
      <c r="W77" s="80">
        <f t="shared" si="48"/>
        <v>2.8163713631353584</v>
      </c>
      <c r="X77" s="81">
        <f t="shared" si="49"/>
        <v>2.7612371535743336</v>
      </c>
      <c r="Y77" s="165">
        <f t="shared" si="50"/>
        <v>2192.228029764142</v>
      </c>
      <c r="Z77" s="165">
        <f t="shared" si="51"/>
        <v>2076.1144206849785</v>
      </c>
      <c r="AA77" s="165">
        <f t="shared" si="52"/>
        <v>1975.4848889664531</v>
      </c>
      <c r="AB77" s="165">
        <f t="shared" si="53"/>
        <v>1907.816914997912</v>
      </c>
      <c r="AC77" s="165">
        <f t="shared" si="54"/>
        <v>1888.95673983331</v>
      </c>
      <c r="AD77" s="172">
        <f t="shared" si="55"/>
        <v>269.29393314578533</v>
      </c>
      <c r="AE77" s="173">
        <f t="shared" si="56"/>
        <v>216.85572174501127</v>
      </c>
      <c r="AF77" s="173">
        <f t="shared" si="57"/>
        <v>179.72012837554618</v>
      </c>
      <c r="AG77" s="173">
        <f t="shared" si="58"/>
        <v>158.22861555379322</v>
      </c>
      <c r="AH77" s="174">
        <f t="shared" si="59"/>
        <v>152.67545693479926</v>
      </c>
      <c r="AI77" s="28"/>
      <c r="BX77"/>
    </row>
    <row r="78" spans="2:76" ht="6.75" customHeight="1">
      <c r="B78" s="4"/>
      <c r="D78" s="4"/>
      <c r="E78" s="4"/>
      <c r="F78" s="83"/>
      <c r="G78" s="86"/>
      <c r="H78" s="88"/>
      <c r="I78" s="88"/>
      <c r="J78" s="57"/>
      <c r="L78" s="11"/>
      <c r="M78" s="15"/>
      <c r="N78" s="11"/>
      <c r="O78" s="11"/>
      <c r="P78" s="11"/>
      <c r="Q78" s="121"/>
      <c r="R78" s="90"/>
      <c r="S78" s="28"/>
      <c r="T78" s="79"/>
      <c r="U78" s="80"/>
      <c r="V78" s="80"/>
      <c r="W78" s="80"/>
      <c r="X78" s="81"/>
      <c r="Y78" s="165"/>
      <c r="Z78" s="165"/>
      <c r="AA78" s="165"/>
      <c r="AB78" s="165"/>
      <c r="AC78" s="165"/>
      <c r="AD78" s="172"/>
      <c r="AE78" s="173"/>
      <c r="AF78" s="173"/>
      <c r="AG78" s="173"/>
      <c r="AH78" s="174"/>
      <c r="AI78" s="28"/>
      <c r="BX78"/>
    </row>
    <row r="79" spans="1:76" ht="16.5">
      <c r="A79" s="15">
        <f>I26</f>
        <v>41.284249216564326</v>
      </c>
      <c r="B79" s="4">
        <v>-0.6091989960299014</v>
      </c>
      <c r="C79" s="11">
        <v>165.1876539783805</v>
      </c>
      <c r="D79" s="4">
        <v>-0.9962057691997916</v>
      </c>
      <c r="E79" s="4">
        <f aca="true" t="shared" si="61" ref="E79:E93">SQRT(B79^2+D79^2)</f>
        <v>1.1677111592130942</v>
      </c>
      <c r="F79" s="83">
        <f aca="true" t="shared" si="62" ref="F79:F93">-B79*$E$29*(1-$E$33)/$E$30/$E$34</f>
        <v>0.2871548413999063</v>
      </c>
      <c r="G79" s="86">
        <f aca="true" t="shared" si="63" ref="G79:G93">C79*$E$29*(1-$E$33)/$E$30/$E$34</f>
        <v>77.86361252810771</v>
      </c>
      <c r="H79" s="88">
        <f aca="true" t="shared" si="64" ref="H79:H93">-D79*$E$29*(1-$E$33)/$E$30/$E$34</f>
        <v>0.4695761344330858</v>
      </c>
      <c r="I79" s="88">
        <f aca="true" t="shared" si="65" ref="I79:I93">E79*$E$29*(1-$E$33)/$E$30/$E$34</f>
        <v>0.550417704083476</v>
      </c>
      <c r="J79" s="57">
        <f aca="true" t="shared" si="66" ref="J79:J93">E79*E$29/E$30</f>
        <v>2.2014275924677937</v>
      </c>
      <c r="K79" s="11">
        <f aca="true" t="shared" si="67" ref="K79:K93">L$33*E$14/120*F79^2/E$8*E$7*E$10*(E$10-1)*E$5/E$6</f>
        <v>4.8788372589355475</v>
      </c>
      <c r="L79" s="11">
        <f aca="true" t="shared" si="68" ref="L79:L93">L$34*E$14/6*F79^2/E$9*E$7*E$5/E$6*(1+(G79*E$5/F79)^2/15)</f>
        <v>244.4707157872413</v>
      </c>
      <c r="M79" s="15">
        <f aca="true" t="shared" si="69" ref="M79:M93">L$35*E$14/8*H79^2/E$9*E$7*E$6/E$5</f>
        <v>3.154565497437657</v>
      </c>
      <c r="N79" s="11">
        <f aca="true" t="shared" si="70" ref="N79:N93">E$14*E$15*(E$12/E$11)^2*J79*(1-E$33)/E$34^2*(E$20/2/PI())^2/E$19*LN((E$18+E$19*J79)/(E$18+E$19*E$33*J79))</f>
        <v>244.65855544298353</v>
      </c>
      <c r="O79" s="11">
        <f aca="true" t="shared" si="71" ref="O79:O93">(Y79+Z79+AA79+AB79+AC79)/5</f>
        <v>1719.4648908373358</v>
      </c>
      <c r="P79" s="11">
        <f aca="true" t="shared" si="72" ref="P79:P93">(AD79+AE79+AF79+AG79+AH79)/5</f>
        <v>115.0144798572724</v>
      </c>
      <c r="Q79" s="121">
        <f aca="true" t="shared" si="73" ref="Q79:Q93">SUM(K79:P79)</f>
        <v>2331.6420446812062</v>
      </c>
      <c r="R79" s="90">
        <f>Q79*J$29*(A80-A79)</f>
        <v>0.013165528920891829</v>
      </c>
      <c r="S79" s="28"/>
      <c r="T79" s="79">
        <f aca="true" t="shared" si="74" ref="T79:T93">SQRT(($B79-$C79*0.8*$E$5)^2+$D79^2)*$E$29/$E$30</f>
        <v>3.01652021090198</v>
      </c>
      <c r="U79" s="80">
        <f aca="true" t="shared" si="75" ref="U79:U93">SQRT(($B79-$C79*0.4*$E$5)^2+$D79^2)*$E$29/$E$30</f>
        <v>2.5701312122235054</v>
      </c>
      <c r="V79" s="80">
        <f aca="true" t="shared" si="76" ref="V79:V93">SQRT(($B79)^2+$D79^2)*$E$29/$E$30</f>
        <v>2.2014275924677937</v>
      </c>
      <c r="W79" s="80">
        <f aca="true" t="shared" si="77" ref="W79:W93">SQRT(($B79+$C79*0.4*$E$5)^2+$D79^2)*$E$29/$E$30</f>
        <v>1.9548711398144292</v>
      </c>
      <c r="X79" s="81">
        <f aca="true" t="shared" si="78" ref="X79:X93">SQRT(($B79+$C79*0.8*$E$5)^2+$D79^2)*$E$29/$E$30</f>
        <v>1.879172060575595</v>
      </c>
      <c r="Y79" s="165">
        <f aca="true" t="shared" si="79" ref="Y79:Y93">$L$36*$E$14*$E$15*$E$17/$E$34*2/3*$E$21/PI()*($E$22*$E$23*LN((T79+$E$23)/($E$33*T79+$E$23))+$E$24*T79*(1-$E$33)+$E$25*T79^2/2*(1-$E$33^2))</f>
        <v>1973.9739631765904</v>
      </c>
      <c r="Z79" s="165">
        <f aca="true" t="shared" si="80" ref="Z79:Z93">$L$36*$E$14*$E$15*$E$17/$E$34*2/3*$E$21/PI()*($E$22*$E$23*LN((U79+$E$23)/($E$33*U79+$E$23))+$E$24*U79*(1-$E$33)+$E$25*U79^2/2*(1-$E$33^2))</f>
        <v>1821.3546549799505</v>
      </c>
      <c r="AA79" s="165">
        <f aca="true" t="shared" si="81" ref="AA79:AA93">$L$36*$E$14*$E$15*$E$17/$E$34*2/3*$E$21/PI()*($E$22*$E$23*LN((V79+$E$23)/($E$33*V79+$E$23))+$E$24*V79*(1-$E$33)+$E$25*V79^2/2*(1-$E$33^2))</f>
        <v>1680.3819540232948</v>
      </c>
      <c r="AB79" s="165">
        <f aca="true" t="shared" si="82" ref="AB79:AB93">$L$36*$E$14*$E$15*$E$17/$E$34*2/3*$E$21/PI()*($E$22*$E$23*LN((W79+$E$23)/($E$33*W79+$E$23))+$E$24*W79*(1-$E$33)+$E$25*W79^2/2*(1-$E$33^2))</f>
        <v>1577.4024828391384</v>
      </c>
      <c r="AC79" s="165">
        <f aca="true" t="shared" si="83" ref="AC79:AC93">$L$36*$E$14*$E$15*$E$17/$E$34*2/3*$E$21/PI()*($E$22*$E$23*LN((X79+$E$23)/($E$33*X79+$E$23))+$E$24*X79*(1-$E$33)+$E$25*X79^2/2*(1-$E$33^2))</f>
        <v>1544.211399167704</v>
      </c>
      <c r="AD79" s="172">
        <f aca="true" t="shared" si="84" ref="AD79:AD93">1/9/PI()*$E$21/$E$34*$E$28^2*T79*(3*T79+4*$E$27)/($E$26*$E$27*$E$14*$E$15*$E$17*16*$E$5^2*$E$6^2)</f>
        <v>179.21191730247907</v>
      </c>
      <c r="AE79" s="173">
        <f aca="true" t="shared" si="85" ref="AE79:AE93">1/9/PI()*$E$21/$E$34*$E$28^2*U79*(3*U79+4*$E$27)/($E$26*$E$27*$E$14*$E$15*$E$17*16*$E$5^2*$E$6^2)</f>
        <v>134.18617353718864</v>
      </c>
      <c r="AF79" s="173">
        <f aca="true" t="shared" si="86" ref="AF79:AF93">1/9/PI()*$E$21/$E$34*$E$28^2*V79*(3*V79+4*$E$27)/($E$26*$E$27*$E$14*$E$15*$E$17*16*$E$5^2*$E$6^2)</f>
        <v>101.84382871825389</v>
      </c>
      <c r="AG79" s="173">
        <f aca="true" t="shared" si="87" ref="AG79:AG93">1/9/PI()*$E$21/$E$34*$E$28^2*W79*(3*W79+4*$E$27)/($E$26*$E$27*$E$14*$E$15*$E$17*16*$E$5^2*$E$6^2)</f>
        <v>82.66299805395843</v>
      </c>
      <c r="AH79" s="174">
        <f aca="true" t="shared" si="88" ref="AH79:AH93">1/9/PI()*$E$21/$E$34*$E$28^2*X79*(3*X79+4*$E$27)/($E$26*$E$27*$E$14*$E$15*$E$17*16*$E$5^2*$E$6^2)</f>
        <v>77.16748167448208</v>
      </c>
      <c r="AI79" s="28"/>
      <c r="BX79"/>
    </row>
    <row r="80" spans="1:76" ht="16.5">
      <c r="A80" s="18">
        <v>42</v>
      </c>
      <c r="B80" s="4">
        <v>-0.6036062565672307</v>
      </c>
      <c r="C80" s="11">
        <v>178.0405812419791</v>
      </c>
      <c r="D80" s="4">
        <v>-1.0020586485015945</v>
      </c>
      <c r="E80" s="4">
        <f t="shared" si="61"/>
        <v>1.1698128260554967</v>
      </c>
      <c r="F80" s="83">
        <f t="shared" si="62"/>
        <v>0.28451862199728045</v>
      </c>
      <c r="G80" s="86">
        <f t="shared" si="63"/>
        <v>83.9220274532072</v>
      </c>
      <c r="H80" s="88">
        <f t="shared" si="64"/>
        <v>0.47233497454706314</v>
      </c>
      <c r="I80" s="88">
        <f t="shared" si="65"/>
        <v>0.5514083554350678</v>
      </c>
      <c r="J80" s="57">
        <f t="shared" si="66"/>
        <v>2.205389760115619</v>
      </c>
      <c r="K80" s="11">
        <f t="shared" si="67"/>
        <v>4.789668313316732</v>
      </c>
      <c r="L80" s="11">
        <f t="shared" si="68"/>
        <v>244.57572282602797</v>
      </c>
      <c r="M80" s="15">
        <f t="shared" si="69"/>
        <v>3.191741609392457</v>
      </c>
      <c r="N80" s="11">
        <f t="shared" si="70"/>
        <v>245.38294599248172</v>
      </c>
      <c r="O80" s="11">
        <f t="shared" si="71"/>
        <v>1727.96306133092</v>
      </c>
      <c r="P80" s="11">
        <f t="shared" si="72"/>
        <v>117.47554437019826</v>
      </c>
      <c r="Q80" s="121">
        <f t="shared" si="73"/>
        <v>2343.378684442337</v>
      </c>
      <c r="R80" s="90">
        <f aca="true" t="shared" si="89" ref="R80:R92">Q80*J$29</f>
        <v>0.018486601371794455</v>
      </c>
      <c r="S80" s="28"/>
      <c r="T80" s="79">
        <f t="shared" si="74"/>
        <v>3.0892445002128595</v>
      </c>
      <c r="U80" s="80">
        <f t="shared" si="75"/>
        <v>2.603257138851282</v>
      </c>
      <c r="V80" s="80">
        <f t="shared" si="76"/>
        <v>2.205389760115619</v>
      </c>
      <c r="W80" s="80">
        <f t="shared" si="77"/>
        <v>1.9503385273391383</v>
      </c>
      <c r="X80" s="81">
        <f t="shared" si="78"/>
        <v>1.8966224881567426</v>
      </c>
      <c r="Y80" s="165">
        <f t="shared" si="79"/>
        <v>1997.1430212802286</v>
      </c>
      <c r="Z80" s="165">
        <f t="shared" si="80"/>
        <v>1833.3265775281996</v>
      </c>
      <c r="AA80" s="165">
        <f t="shared" si="81"/>
        <v>1681.9765169835046</v>
      </c>
      <c r="AB80" s="165">
        <f t="shared" si="82"/>
        <v>1575.4369334195928</v>
      </c>
      <c r="AC80" s="165">
        <f t="shared" si="83"/>
        <v>1551.932257443075</v>
      </c>
      <c r="AD80" s="172">
        <f t="shared" si="84"/>
        <v>187.15631526041778</v>
      </c>
      <c r="AE80" s="173">
        <f t="shared" si="85"/>
        <v>137.30665686200922</v>
      </c>
      <c r="AF80" s="173">
        <f t="shared" si="86"/>
        <v>102.1680757703127</v>
      </c>
      <c r="AG80" s="173">
        <f t="shared" si="87"/>
        <v>82.32874148086852</v>
      </c>
      <c r="AH80" s="174">
        <f t="shared" si="88"/>
        <v>78.41793247738305</v>
      </c>
      <c r="AI80" s="28"/>
      <c r="BX80"/>
    </row>
    <row r="81" spans="1:76" ht="16.5">
      <c r="A81" s="18">
        <v>43</v>
      </c>
      <c r="B81" s="4">
        <v>-0.5973385358568848</v>
      </c>
      <c r="C81" s="11">
        <v>186.95603637908826</v>
      </c>
      <c r="D81" s="4">
        <v>-1.0854266139488287</v>
      </c>
      <c r="E81" s="4">
        <f t="shared" si="61"/>
        <v>1.2389367460399527</v>
      </c>
      <c r="F81" s="83">
        <f t="shared" si="62"/>
        <v>0.2815642403284868</v>
      </c>
      <c r="G81" s="86">
        <f t="shared" si="63"/>
        <v>88.1244574023513</v>
      </c>
      <c r="H81" s="88">
        <f t="shared" si="64"/>
        <v>0.5116316822761389</v>
      </c>
      <c r="I81" s="88">
        <f t="shared" si="65"/>
        <v>0.5839909243648139</v>
      </c>
      <c r="J81" s="57">
        <f t="shared" si="66"/>
        <v>2.3357056379358365</v>
      </c>
      <c r="K81" s="11">
        <f t="shared" si="67"/>
        <v>4.690714928744755</v>
      </c>
      <c r="L81" s="11">
        <f t="shared" si="68"/>
        <v>243.163490844967</v>
      </c>
      <c r="M81" s="15">
        <f t="shared" si="69"/>
        <v>3.744918546051441</v>
      </c>
      <c r="N81" s="11">
        <f t="shared" si="70"/>
        <v>269.59595703809936</v>
      </c>
      <c r="O81" s="11">
        <f t="shared" si="71"/>
        <v>1782.3734188111873</v>
      </c>
      <c r="P81" s="11">
        <f t="shared" si="72"/>
        <v>129.95507437446904</v>
      </c>
      <c r="Q81" s="121">
        <f t="shared" si="73"/>
        <v>2433.523574543519</v>
      </c>
      <c r="R81" s="90">
        <f t="shared" si="89"/>
        <v>0.019197742366661594</v>
      </c>
      <c r="S81" s="28"/>
      <c r="T81" s="79">
        <f t="shared" si="74"/>
        <v>3.229065406335841</v>
      </c>
      <c r="U81" s="80">
        <f t="shared" si="75"/>
        <v>2.733267986140993</v>
      </c>
      <c r="V81" s="80">
        <f t="shared" si="76"/>
        <v>2.3357056379358365</v>
      </c>
      <c r="W81" s="80">
        <f t="shared" si="77"/>
        <v>2.093123079864366</v>
      </c>
      <c r="X81" s="81">
        <f t="shared" si="78"/>
        <v>2.060991044422597</v>
      </c>
      <c r="Y81" s="165">
        <f t="shared" si="79"/>
        <v>2040.433363789351</v>
      </c>
      <c r="Z81" s="165">
        <f t="shared" si="80"/>
        <v>1879.2809955321884</v>
      </c>
      <c r="AA81" s="165">
        <f t="shared" si="81"/>
        <v>1733.4240912329221</v>
      </c>
      <c r="AB81" s="165">
        <f t="shared" si="82"/>
        <v>1636.074130388401</v>
      </c>
      <c r="AC81" s="165">
        <f t="shared" si="83"/>
        <v>1622.6545131130738</v>
      </c>
      <c r="AD81" s="172">
        <f t="shared" si="84"/>
        <v>202.90970284586504</v>
      </c>
      <c r="AE81" s="173">
        <f t="shared" si="85"/>
        <v>149.89587327307532</v>
      </c>
      <c r="AF81" s="173">
        <f t="shared" si="86"/>
        <v>113.11482979640934</v>
      </c>
      <c r="AG81" s="173">
        <f t="shared" si="87"/>
        <v>93.17677083219783</v>
      </c>
      <c r="AH81" s="174">
        <f t="shared" si="88"/>
        <v>90.67819512479761</v>
      </c>
      <c r="AI81" s="28"/>
      <c r="BX81"/>
    </row>
    <row r="82" spans="1:76" ht="16.5">
      <c r="A82" s="18">
        <v>44</v>
      </c>
      <c r="B82" s="4">
        <v>-0.5899700995025388</v>
      </c>
      <c r="C82" s="11">
        <v>192.78678151772814</v>
      </c>
      <c r="D82" s="4">
        <v>-1.1637762674259693</v>
      </c>
      <c r="E82" s="4">
        <f t="shared" si="61"/>
        <v>1.3047758117511823</v>
      </c>
      <c r="F82" s="83">
        <f t="shared" si="62"/>
        <v>0.27809102026987453</v>
      </c>
      <c r="G82" s="86">
        <f t="shared" si="63"/>
        <v>90.87286425535147</v>
      </c>
      <c r="H82" s="88">
        <f t="shared" si="64"/>
        <v>0.5485629353881543</v>
      </c>
      <c r="I82" s="88">
        <f t="shared" si="65"/>
        <v>0.615025129272299</v>
      </c>
      <c r="J82" s="57">
        <f t="shared" si="66"/>
        <v>2.459828743872988</v>
      </c>
      <c r="K82" s="11">
        <f t="shared" si="67"/>
        <v>4.575704575596399</v>
      </c>
      <c r="L82" s="11">
        <f t="shared" si="68"/>
        <v>240.06177324142848</v>
      </c>
      <c r="M82" s="15">
        <f t="shared" si="69"/>
        <v>4.305072176748024</v>
      </c>
      <c r="N82" s="11">
        <f t="shared" si="70"/>
        <v>293.3377114924462</v>
      </c>
      <c r="O82" s="11">
        <f t="shared" si="71"/>
        <v>1830.700915222671</v>
      </c>
      <c r="P82" s="11">
        <f t="shared" si="72"/>
        <v>141.91606776922274</v>
      </c>
      <c r="Q82" s="121">
        <f t="shared" si="73"/>
        <v>2514.897244478113</v>
      </c>
      <c r="R82" s="90">
        <f t="shared" si="89"/>
        <v>0.019839688377448494</v>
      </c>
      <c r="S82" s="28"/>
      <c r="T82" s="79">
        <f t="shared" si="74"/>
        <v>3.346395549291799</v>
      </c>
      <c r="U82" s="80">
        <f t="shared" si="75"/>
        <v>2.8503193929944395</v>
      </c>
      <c r="V82" s="80">
        <f t="shared" si="76"/>
        <v>2.459828743872988</v>
      </c>
      <c r="W82" s="80">
        <f t="shared" si="77"/>
        <v>2.231070055742462</v>
      </c>
      <c r="X82" s="81">
        <f t="shared" si="78"/>
        <v>2.2147390535728864</v>
      </c>
      <c r="Y82" s="165">
        <f t="shared" si="79"/>
        <v>2075.519826987938</v>
      </c>
      <c r="Z82" s="165">
        <f t="shared" si="80"/>
        <v>1919.2908161199373</v>
      </c>
      <c r="AA82" s="165">
        <f t="shared" si="81"/>
        <v>1780.694691261221</v>
      </c>
      <c r="AB82" s="165">
        <f t="shared" si="82"/>
        <v>1692.2673603030978</v>
      </c>
      <c r="AC82" s="165">
        <f t="shared" si="83"/>
        <v>1685.73188144116</v>
      </c>
      <c r="AD82" s="172">
        <f t="shared" si="84"/>
        <v>216.61576401298368</v>
      </c>
      <c r="AE82" s="173">
        <f t="shared" si="85"/>
        <v>161.69666647561658</v>
      </c>
      <c r="AF82" s="173">
        <f t="shared" si="86"/>
        <v>124.05079721663711</v>
      </c>
      <c r="AG82" s="173">
        <f t="shared" si="87"/>
        <v>104.28192127922634</v>
      </c>
      <c r="AH82" s="174">
        <f t="shared" si="88"/>
        <v>102.93518986164997</v>
      </c>
      <c r="AI82" s="28"/>
      <c r="BX82"/>
    </row>
    <row r="83" spans="1:76" ht="16.5">
      <c r="A83" s="18">
        <v>45</v>
      </c>
      <c r="B83" s="4">
        <v>-0.5820132667816189</v>
      </c>
      <c r="C83" s="11">
        <v>196.4470854530454</v>
      </c>
      <c r="D83" s="4">
        <v>-1.239075168627491</v>
      </c>
      <c r="E83" s="4">
        <f t="shared" si="61"/>
        <v>1.3689582594875043</v>
      </c>
      <c r="F83" s="83">
        <f t="shared" si="62"/>
        <v>0.2743404509929856</v>
      </c>
      <c r="G83" s="86">
        <f t="shared" si="63"/>
        <v>92.59820195759858</v>
      </c>
      <c r="H83" s="88">
        <f t="shared" si="64"/>
        <v>0.5840561718724916</v>
      </c>
      <c r="I83" s="88">
        <f t="shared" si="65"/>
        <v>0.6452784631098298</v>
      </c>
      <c r="J83" s="57">
        <f t="shared" si="66"/>
        <v>2.5808287105891377</v>
      </c>
      <c r="K83" s="11">
        <f t="shared" si="67"/>
        <v>4.453113275833367</v>
      </c>
      <c r="L83" s="11">
        <f t="shared" si="68"/>
        <v>235.88440277476343</v>
      </c>
      <c r="M83" s="15">
        <f t="shared" si="69"/>
        <v>4.880190233030453</v>
      </c>
      <c r="N83" s="11">
        <f t="shared" si="70"/>
        <v>317.0938292343535</v>
      </c>
      <c r="O83" s="11">
        <f t="shared" si="71"/>
        <v>1874.9706252572141</v>
      </c>
      <c r="P83" s="11">
        <f t="shared" si="72"/>
        <v>153.69678767372</v>
      </c>
      <c r="Q83" s="121">
        <f t="shared" si="73"/>
        <v>2590.9789484489147</v>
      </c>
      <c r="R83" s="90">
        <f t="shared" si="89"/>
        <v>0.020439886775740997</v>
      </c>
      <c r="S83" s="28"/>
      <c r="T83" s="79">
        <f t="shared" si="74"/>
        <v>3.4498528137081537</v>
      </c>
      <c r="U83" s="80">
        <f t="shared" si="75"/>
        <v>2.960011023437385</v>
      </c>
      <c r="V83" s="80">
        <f t="shared" si="76"/>
        <v>2.5808287105891377</v>
      </c>
      <c r="W83" s="80">
        <f t="shared" si="77"/>
        <v>2.3661190079624355</v>
      </c>
      <c r="X83" s="81">
        <f t="shared" si="78"/>
        <v>2.361184498973064</v>
      </c>
      <c r="Y83" s="165">
        <f t="shared" si="79"/>
        <v>2105.5438496563875</v>
      </c>
      <c r="Z83" s="165">
        <f t="shared" si="80"/>
        <v>1955.6552341495603</v>
      </c>
      <c r="AA83" s="165">
        <f t="shared" si="81"/>
        <v>1825.2326894063915</v>
      </c>
      <c r="AB83" s="165">
        <f t="shared" si="82"/>
        <v>1745.1592667129248</v>
      </c>
      <c r="AC83" s="165">
        <f t="shared" si="83"/>
        <v>1743.2620863608058</v>
      </c>
      <c r="AD83" s="172">
        <f t="shared" si="84"/>
        <v>229.06969284772336</v>
      </c>
      <c r="AE83" s="173">
        <f t="shared" si="85"/>
        <v>173.15665242998654</v>
      </c>
      <c r="AF83" s="173">
        <f t="shared" si="86"/>
        <v>135.19001461429158</v>
      </c>
      <c r="AG83" s="173">
        <f t="shared" si="87"/>
        <v>115.74845331930085</v>
      </c>
      <c r="AH83" s="174">
        <f t="shared" si="88"/>
        <v>115.31912515729753</v>
      </c>
      <c r="AI83" s="28"/>
      <c r="BX83"/>
    </row>
    <row r="84" spans="1:76" ht="16.5">
      <c r="A84" s="18">
        <v>46</v>
      </c>
      <c r="B84" s="4">
        <v>-0.5731696417058778</v>
      </c>
      <c r="C84" s="11">
        <v>198.3951260814957</v>
      </c>
      <c r="D84" s="4">
        <v>-1.3126336149754054</v>
      </c>
      <c r="E84" s="4">
        <f t="shared" si="61"/>
        <v>1.4323164613089683</v>
      </c>
      <c r="F84" s="83">
        <f t="shared" si="62"/>
        <v>0.2701718791920235</v>
      </c>
      <c r="G84" s="86">
        <f t="shared" si="63"/>
        <v>93.51643935022186</v>
      </c>
      <c r="H84" s="88">
        <f t="shared" si="64"/>
        <v>0.6187290195500379</v>
      </c>
      <c r="I84" s="88">
        <f t="shared" si="65"/>
        <v>0.6751432766009748</v>
      </c>
      <c r="J84" s="57">
        <f t="shared" si="66"/>
        <v>2.700274767602849</v>
      </c>
      <c r="K84" s="11">
        <f t="shared" si="67"/>
        <v>4.318812336256231</v>
      </c>
      <c r="L84" s="11">
        <f t="shared" si="68"/>
        <v>230.57073345371535</v>
      </c>
      <c r="M84" s="15">
        <f t="shared" si="69"/>
        <v>5.476820251481226</v>
      </c>
      <c r="N84" s="11">
        <f t="shared" si="70"/>
        <v>341.1143708440759</v>
      </c>
      <c r="O84" s="11">
        <f t="shared" si="71"/>
        <v>1916.2978005263897</v>
      </c>
      <c r="P84" s="11">
        <f t="shared" si="72"/>
        <v>165.48188100146902</v>
      </c>
      <c r="Q84" s="121">
        <f t="shared" si="73"/>
        <v>2663.2604184133875</v>
      </c>
      <c r="R84" s="90">
        <f t="shared" si="89"/>
        <v>0.02101010563565972</v>
      </c>
      <c r="S84" s="28"/>
      <c r="T84" s="79">
        <f t="shared" si="74"/>
        <v>3.543519164000726</v>
      </c>
      <c r="U84" s="80">
        <f t="shared" si="75"/>
        <v>3.065002131791376</v>
      </c>
      <c r="V84" s="80">
        <f t="shared" si="76"/>
        <v>2.700274767602849</v>
      </c>
      <c r="W84" s="80">
        <f t="shared" si="77"/>
        <v>2.4996530406520887</v>
      </c>
      <c r="X84" s="81">
        <f t="shared" si="78"/>
        <v>2.502914816199607</v>
      </c>
      <c r="Y84" s="165">
        <f t="shared" si="79"/>
        <v>2132.003874050154</v>
      </c>
      <c r="Z84" s="165">
        <f t="shared" si="80"/>
        <v>1989.4700236983047</v>
      </c>
      <c r="AA84" s="165">
        <f t="shared" si="81"/>
        <v>1867.7724770287825</v>
      </c>
      <c r="AB84" s="165">
        <f t="shared" si="82"/>
        <v>1795.517886015329</v>
      </c>
      <c r="AC84" s="165">
        <f t="shared" si="83"/>
        <v>1796.7247418393777</v>
      </c>
      <c r="AD84" s="172">
        <f t="shared" si="84"/>
        <v>240.64283935393746</v>
      </c>
      <c r="AE84" s="173">
        <f t="shared" si="85"/>
        <v>184.48912210278837</v>
      </c>
      <c r="AF84" s="173">
        <f t="shared" si="86"/>
        <v>146.64944119972023</v>
      </c>
      <c r="AG84" s="173">
        <f t="shared" si="87"/>
        <v>127.66486417906131</v>
      </c>
      <c r="AH84" s="174">
        <f t="shared" si="88"/>
        <v>127.96313817183774</v>
      </c>
      <c r="AI84" s="28"/>
      <c r="BX84"/>
    </row>
    <row r="85" spans="1:76" ht="16.5">
      <c r="A85" s="18">
        <v>47</v>
      </c>
      <c r="B85" s="4">
        <v>-0.5638422032320918</v>
      </c>
      <c r="C85" s="11">
        <v>198.77989350058206</v>
      </c>
      <c r="D85" s="4">
        <v>-1.3853539176118572</v>
      </c>
      <c r="E85" s="4">
        <f t="shared" si="61"/>
        <v>1.495701677203091</v>
      </c>
      <c r="F85" s="83">
        <f t="shared" si="62"/>
        <v>0.26577525488196646</v>
      </c>
      <c r="G85" s="86">
        <f t="shared" si="63"/>
        <v>93.69780509101204</v>
      </c>
      <c r="H85" s="88">
        <f t="shared" si="64"/>
        <v>0.6530067959518534</v>
      </c>
      <c r="I85" s="88">
        <f t="shared" si="65"/>
        <v>0.705020823569687</v>
      </c>
      <c r="J85" s="57">
        <f t="shared" si="66"/>
        <v>2.8197717529000377</v>
      </c>
      <c r="K85" s="11">
        <f t="shared" si="67"/>
        <v>4.179392247158713</v>
      </c>
      <c r="L85" s="11">
        <f t="shared" si="68"/>
        <v>224.45318058102077</v>
      </c>
      <c r="M85" s="15">
        <f t="shared" si="69"/>
        <v>6.100464699052347</v>
      </c>
      <c r="N85" s="11">
        <f t="shared" si="70"/>
        <v>365.6904987460743</v>
      </c>
      <c r="O85" s="11">
        <f t="shared" si="71"/>
        <v>1955.494723103668</v>
      </c>
      <c r="P85" s="11">
        <f t="shared" si="72"/>
        <v>177.4371406960832</v>
      </c>
      <c r="Q85" s="121">
        <f t="shared" si="73"/>
        <v>2733.3554000730574</v>
      </c>
      <c r="R85" s="90">
        <f t="shared" si="89"/>
        <v>0.021563075581451444</v>
      </c>
      <c r="S85" s="28"/>
      <c r="T85" s="79">
        <f t="shared" si="74"/>
        <v>3.6303155007621286</v>
      </c>
      <c r="U85" s="80">
        <f t="shared" si="75"/>
        <v>3.167542731486051</v>
      </c>
      <c r="V85" s="80">
        <f t="shared" si="76"/>
        <v>2.8197717529000377</v>
      </c>
      <c r="W85" s="80">
        <f t="shared" si="77"/>
        <v>2.63297322110619</v>
      </c>
      <c r="X85" s="81">
        <f t="shared" si="78"/>
        <v>2.641520904633951</v>
      </c>
      <c r="Y85" s="165">
        <f t="shared" si="79"/>
        <v>2155.921508052642</v>
      </c>
      <c r="Z85" s="165">
        <f t="shared" si="80"/>
        <v>2021.586008927594</v>
      </c>
      <c r="AA85" s="165">
        <f t="shared" si="81"/>
        <v>1908.9709374266288</v>
      </c>
      <c r="AB85" s="165">
        <f t="shared" si="82"/>
        <v>1843.9741980018607</v>
      </c>
      <c r="AC85" s="165">
        <f t="shared" si="83"/>
        <v>1847.0209631096145</v>
      </c>
      <c r="AD85" s="172">
        <f t="shared" si="84"/>
        <v>251.61980035177842</v>
      </c>
      <c r="AE85" s="173">
        <f t="shared" si="85"/>
        <v>195.90034544944248</v>
      </c>
      <c r="AF85" s="173">
        <f t="shared" si="86"/>
        <v>158.57431588269264</v>
      </c>
      <c r="AG85" s="173">
        <f t="shared" si="87"/>
        <v>140.13605231386177</v>
      </c>
      <c r="AH85" s="174">
        <f t="shared" si="88"/>
        <v>140.95518948264052</v>
      </c>
      <c r="AI85" s="28"/>
      <c r="BX85"/>
    </row>
    <row r="86" spans="1:76" ht="16.5">
      <c r="A86" s="18">
        <v>48</v>
      </c>
      <c r="B86" s="4">
        <v>-0.553885694261746</v>
      </c>
      <c r="C86" s="11">
        <v>197.80678894011174</v>
      </c>
      <c r="D86" s="4">
        <v>-1.4583924395940684</v>
      </c>
      <c r="E86" s="4">
        <f t="shared" si="61"/>
        <v>1.5600313683298022</v>
      </c>
      <c r="F86" s="83">
        <f t="shared" si="62"/>
        <v>0.2610821090086005</v>
      </c>
      <c r="G86" s="86">
        <f t="shared" si="63"/>
        <v>93.23911804860322</v>
      </c>
      <c r="H86" s="88">
        <f t="shared" si="64"/>
        <v>0.6874345696884602</v>
      </c>
      <c r="I86" s="88">
        <f t="shared" si="65"/>
        <v>0.7353435627291078</v>
      </c>
      <c r="J86" s="57">
        <f t="shared" si="66"/>
        <v>2.941049310234256</v>
      </c>
      <c r="K86" s="11">
        <f t="shared" si="67"/>
        <v>4.03309331576053</v>
      </c>
      <c r="L86" s="11">
        <f t="shared" si="68"/>
        <v>217.52501553984678</v>
      </c>
      <c r="M86" s="15">
        <f t="shared" si="69"/>
        <v>6.760678012622154</v>
      </c>
      <c r="N86" s="11">
        <f t="shared" si="70"/>
        <v>391.1706674800279</v>
      </c>
      <c r="O86" s="11">
        <f t="shared" si="71"/>
        <v>1993.369975451765</v>
      </c>
      <c r="P86" s="11">
        <f t="shared" si="72"/>
        <v>189.78459547866768</v>
      </c>
      <c r="Q86" s="121">
        <f t="shared" si="73"/>
        <v>2802.64402527869</v>
      </c>
      <c r="R86" s="90">
        <f t="shared" si="89"/>
        <v>0.022109684288904558</v>
      </c>
      <c r="S86" s="28"/>
      <c r="T86" s="79">
        <f t="shared" si="74"/>
        <v>3.713139639916655</v>
      </c>
      <c r="U86" s="80">
        <f t="shared" si="75"/>
        <v>3.2698559624786014</v>
      </c>
      <c r="V86" s="80">
        <f t="shared" si="76"/>
        <v>2.941049310234256</v>
      </c>
      <c r="W86" s="80">
        <f t="shared" si="77"/>
        <v>2.767823165438496</v>
      </c>
      <c r="X86" s="81">
        <f t="shared" si="78"/>
        <v>2.7794208218768564</v>
      </c>
      <c r="Y86" s="165">
        <f t="shared" si="79"/>
        <v>2178.2136832818655</v>
      </c>
      <c r="Z86" s="165">
        <f t="shared" si="80"/>
        <v>2052.75795607107</v>
      </c>
      <c r="AA86" s="165">
        <f t="shared" si="81"/>
        <v>1949.4456870631107</v>
      </c>
      <c r="AB86" s="165">
        <f t="shared" si="82"/>
        <v>1891.2244850914713</v>
      </c>
      <c r="AC86" s="165">
        <f t="shared" si="83"/>
        <v>1895.208065751306</v>
      </c>
      <c r="AD86" s="172">
        <f t="shared" si="84"/>
        <v>262.3210117394349</v>
      </c>
      <c r="AE86" s="173">
        <f t="shared" si="85"/>
        <v>207.62434087178153</v>
      </c>
      <c r="AF86" s="173">
        <f t="shared" si="86"/>
        <v>171.14788546388613</v>
      </c>
      <c r="AG86" s="173">
        <f t="shared" si="87"/>
        <v>153.33364753105425</v>
      </c>
      <c r="AH86" s="174">
        <f t="shared" si="88"/>
        <v>154.4960917871816</v>
      </c>
      <c r="AI86" s="28"/>
      <c r="BX86"/>
    </row>
    <row r="87" spans="1:76" ht="16.5">
      <c r="A87" s="18">
        <v>49</v>
      </c>
      <c r="B87" s="4">
        <v>-0.5431440402046857</v>
      </c>
      <c r="C87" s="11">
        <v>195.4771629223311</v>
      </c>
      <c r="D87" s="4">
        <v>-1.5324290050316072</v>
      </c>
      <c r="E87" s="4">
        <f t="shared" si="61"/>
        <v>1.6258364320779723</v>
      </c>
      <c r="F87" s="83">
        <f t="shared" si="62"/>
        <v>0.2560188735350863</v>
      </c>
      <c r="G87" s="86">
        <f t="shared" si="63"/>
        <v>92.14101481137453</v>
      </c>
      <c r="H87" s="88">
        <f t="shared" si="64"/>
        <v>0.7223327857796876</v>
      </c>
      <c r="I87" s="88">
        <f t="shared" si="65"/>
        <v>0.7663617403148585</v>
      </c>
      <c r="J87" s="57">
        <f t="shared" si="66"/>
        <v>3.065108313966777</v>
      </c>
      <c r="K87" s="11">
        <f t="shared" si="67"/>
        <v>3.8781804334565333</v>
      </c>
      <c r="L87" s="11">
        <f t="shared" si="68"/>
        <v>209.7162085438334</v>
      </c>
      <c r="M87" s="15">
        <f t="shared" si="69"/>
        <v>7.464524898680029</v>
      </c>
      <c r="N87" s="11">
        <f t="shared" si="70"/>
        <v>417.77623965781464</v>
      </c>
      <c r="O87" s="11">
        <f t="shared" si="71"/>
        <v>2030.3327465967461</v>
      </c>
      <c r="P87" s="11">
        <f t="shared" si="72"/>
        <v>202.66058332281938</v>
      </c>
      <c r="Q87" s="121">
        <f t="shared" si="73"/>
        <v>2871.82848345335</v>
      </c>
      <c r="R87" s="90">
        <f t="shared" si="89"/>
        <v>0.02265547123656679</v>
      </c>
      <c r="S87" s="28"/>
      <c r="T87" s="79">
        <f t="shared" si="74"/>
        <v>3.7933374159753055</v>
      </c>
      <c r="U87" s="80">
        <f t="shared" si="75"/>
        <v>3.373106856900821</v>
      </c>
      <c r="V87" s="80">
        <f t="shared" si="76"/>
        <v>3.065108313966777</v>
      </c>
      <c r="W87" s="80">
        <f t="shared" si="77"/>
        <v>2.905258349315766</v>
      </c>
      <c r="X87" s="81">
        <f t="shared" si="78"/>
        <v>2.918006368710232</v>
      </c>
      <c r="Y87" s="165">
        <f t="shared" si="79"/>
        <v>2199.3121461462956</v>
      </c>
      <c r="Z87" s="165">
        <f t="shared" si="80"/>
        <v>2083.3528041460677</v>
      </c>
      <c r="AA87" s="165">
        <f t="shared" si="81"/>
        <v>1989.5037408807646</v>
      </c>
      <c r="AB87" s="165">
        <f t="shared" si="82"/>
        <v>1937.6382000705282</v>
      </c>
      <c r="AC87" s="165">
        <f t="shared" si="83"/>
        <v>1941.856841740074</v>
      </c>
      <c r="AD87" s="172">
        <f t="shared" si="84"/>
        <v>272.89377123409764</v>
      </c>
      <c r="AE87" s="173">
        <f t="shared" si="85"/>
        <v>219.79813850980972</v>
      </c>
      <c r="AF87" s="173">
        <f t="shared" si="86"/>
        <v>184.5007631362879</v>
      </c>
      <c r="AG87" s="173">
        <f t="shared" si="87"/>
        <v>167.38787012365256</v>
      </c>
      <c r="AH87" s="174">
        <f t="shared" si="88"/>
        <v>168.72237361024904</v>
      </c>
      <c r="AI87" s="28"/>
      <c r="BX87"/>
    </row>
    <row r="88" spans="1:76" ht="16.5">
      <c r="A88" s="18">
        <v>50</v>
      </c>
      <c r="B88" s="4">
        <v>-0.5318523069431151</v>
      </c>
      <c r="C88" s="11">
        <v>191.67859495808676</v>
      </c>
      <c r="D88" s="4">
        <v>-1.6083404901146503</v>
      </c>
      <c r="E88" s="4">
        <f t="shared" si="61"/>
        <v>1.6939970509251032</v>
      </c>
      <c r="F88" s="83">
        <f t="shared" si="62"/>
        <v>0.25069635019708464</v>
      </c>
      <c r="G88" s="86">
        <f t="shared" si="63"/>
        <v>90.35050434036613</v>
      </c>
      <c r="H88" s="88">
        <f t="shared" si="64"/>
        <v>0.7581147726206222</v>
      </c>
      <c r="I88" s="88">
        <f t="shared" si="65"/>
        <v>0.7984902431888301</v>
      </c>
      <c r="J88" s="57">
        <f t="shared" si="66"/>
        <v>3.19360812821097</v>
      </c>
      <c r="K88" s="11">
        <f t="shared" si="67"/>
        <v>3.718605168966485</v>
      </c>
      <c r="L88" s="11">
        <f t="shared" si="68"/>
        <v>201.18169183783965</v>
      </c>
      <c r="M88" s="15">
        <f t="shared" si="69"/>
        <v>8.222377936781681</v>
      </c>
      <c r="N88" s="11">
        <f t="shared" si="70"/>
        <v>445.8910970365152</v>
      </c>
      <c r="O88" s="11">
        <f t="shared" si="71"/>
        <v>2066.883696030255</v>
      </c>
      <c r="P88" s="11">
        <f t="shared" si="72"/>
        <v>216.2769497914347</v>
      </c>
      <c r="Q88" s="121">
        <f t="shared" si="73"/>
        <v>2942.174417801793</v>
      </c>
      <c r="R88" s="90">
        <f t="shared" si="89"/>
        <v>0.023210420914593567</v>
      </c>
      <c r="S88" s="28"/>
      <c r="T88" s="79">
        <f t="shared" si="74"/>
        <v>3.872663096835011</v>
      </c>
      <c r="U88" s="80">
        <f t="shared" si="75"/>
        <v>3.4790546095681214</v>
      </c>
      <c r="V88" s="80">
        <f t="shared" si="76"/>
        <v>3.19360812821097</v>
      </c>
      <c r="W88" s="80">
        <f t="shared" si="77"/>
        <v>3.0468762958547733</v>
      </c>
      <c r="X88" s="81">
        <f t="shared" si="78"/>
        <v>3.058886698352322</v>
      </c>
      <c r="Y88" s="165">
        <f t="shared" si="79"/>
        <v>2219.716341043474</v>
      </c>
      <c r="Z88" s="165">
        <f t="shared" si="80"/>
        <v>2113.866148865011</v>
      </c>
      <c r="AA88" s="165">
        <f t="shared" si="81"/>
        <v>2029.6093044360582</v>
      </c>
      <c r="AB88" s="165">
        <f t="shared" si="82"/>
        <v>1983.700188663722</v>
      </c>
      <c r="AC88" s="165">
        <f t="shared" si="83"/>
        <v>1987.5264971430076</v>
      </c>
      <c r="AD88" s="172">
        <f t="shared" si="84"/>
        <v>283.55567445705793</v>
      </c>
      <c r="AE88" s="173">
        <f t="shared" si="85"/>
        <v>232.64741868260018</v>
      </c>
      <c r="AF88" s="173">
        <f t="shared" si="86"/>
        <v>198.85510202782677</v>
      </c>
      <c r="AG88" s="173">
        <f t="shared" si="87"/>
        <v>182.50726915801715</v>
      </c>
      <c r="AH88" s="174">
        <f t="shared" si="88"/>
        <v>183.81928463167142</v>
      </c>
      <c r="AI88" s="28"/>
      <c r="BX88"/>
    </row>
    <row r="89" spans="1:76" ht="16.5">
      <c r="A89" s="18">
        <v>51</v>
      </c>
      <c r="B89" s="4">
        <v>-0.5197396600150359</v>
      </c>
      <c r="C89" s="11">
        <v>186.28593034491297</v>
      </c>
      <c r="D89" s="4">
        <v>-1.68723168296781</v>
      </c>
      <c r="E89" s="4">
        <f t="shared" si="61"/>
        <v>1.7654687950238412</v>
      </c>
      <c r="F89" s="83">
        <f t="shared" si="62"/>
        <v>0.24498687721660892</v>
      </c>
      <c r="G89" s="86">
        <f t="shared" si="63"/>
        <v>87.80859313924722</v>
      </c>
      <c r="H89" s="88">
        <f t="shared" si="64"/>
        <v>0.7953012882242799</v>
      </c>
      <c r="I89" s="88">
        <f t="shared" si="65"/>
        <v>0.8321794932942922</v>
      </c>
      <c r="J89" s="57">
        <f t="shared" si="66"/>
        <v>3.3283502417031356</v>
      </c>
      <c r="K89" s="11">
        <f t="shared" si="67"/>
        <v>3.5511555005216424</v>
      </c>
      <c r="L89" s="11">
        <f t="shared" si="68"/>
        <v>191.7649857673137</v>
      </c>
      <c r="M89" s="15">
        <f t="shared" si="69"/>
        <v>9.048797889219102</v>
      </c>
      <c r="N89" s="11">
        <f t="shared" si="70"/>
        <v>475.9592638899084</v>
      </c>
      <c r="O89" s="11">
        <f t="shared" si="71"/>
        <v>2103.52314539774</v>
      </c>
      <c r="P89" s="11">
        <f t="shared" si="72"/>
        <v>230.89697824347786</v>
      </c>
      <c r="Q89" s="121">
        <f t="shared" si="73"/>
        <v>3014.7443266881805</v>
      </c>
      <c r="R89" s="90">
        <f t="shared" si="89"/>
        <v>0.023782915230632525</v>
      </c>
      <c r="S89" s="28"/>
      <c r="T89" s="79">
        <f t="shared" si="74"/>
        <v>3.9528212273854075</v>
      </c>
      <c r="U89" s="80">
        <f t="shared" si="75"/>
        <v>3.589468428905181</v>
      </c>
      <c r="V89" s="80">
        <f t="shared" si="76"/>
        <v>3.3283502417031356</v>
      </c>
      <c r="W89" s="80">
        <f t="shared" si="77"/>
        <v>3.1946346964376944</v>
      </c>
      <c r="X89" s="81">
        <f t="shared" si="78"/>
        <v>3.2043111800856257</v>
      </c>
      <c r="Y89" s="165">
        <f t="shared" si="79"/>
        <v>2239.8710374309458</v>
      </c>
      <c r="Z89" s="165">
        <f t="shared" si="80"/>
        <v>2144.737131407519</v>
      </c>
      <c r="AA89" s="165">
        <f t="shared" si="81"/>
        <v>2070.195862657299</v>
      </c>
      <c r="AB89" s="165">
        <f t="shared" si="82"/>
        <v>2029.9241435640686</v>
      </c>
      <c r="AC89" s="165">
        <f t="shared" si="83"/>
        <v>2032.8875519288674</v>
      </c>
      <c r="AD89" s="172">
        <f t="shared" si="84"/>
        <v>294.5356703939847</v>
      </c>
      <c r="AE89" s="173">
        <f t="shared" si="85"/>
        <v>246.42367752441143</v>
      </c>
      <c r="AF89" s="173">
        <f t="shared" si="86"/>
        <v>214.4788807098832</v>
      </c>
      <c r="AG89" s="173">
        <f t="shared" si="87"/>
        <v>198.971921746716</v>
      </c>
      <c r="AH89" s="174">
        <f t="shared" si="88"/>
        <v>200.07474084239396</v>
      </c>
      <c r="AI89" s="28"/>
      <c r="BX89"/>
    </row>
    <row r="90" spans="1:76" ht="16.5">
      <c r="A90" s="18">
        <v>52</v>
      </c>
      <c r="B90" s="4">
        <v>-0.507115608884023</v>
      </c>
      <c r="C90" s="11">
        <v>179.04529282170077</v>
      </c>
      <c r="D90" s="4">
        <v>-1.7698720892038968</v>
      </c>
      <c r="E90" s="4">
        <f t="shared" si="61"/>
        <v>1.8410902891810548</v>
      </c>
      <c r="F90" s="83">
        <f t="shared" si="62"/>
        <v>0.23903634639831386</v>
      </c>
      <c r="G90" s="86">
        <f t="shared" si="63"/>
        <v>84.39561292561902</v>
      </c>
      <c r="H90" s="88">
        <f t="shared" si="64"/>
        <v>0.8342550502964395</v>
      </c>
      <c r="I90" s="88">
        <f t="shared" si="65"/>
        <v>0.8678247886783195</v>
      </c>
      <c r="J90" s="57">
        <f t="shared" si="66"/>
        <v>3.470915671953471</v>
      </c>
      <c r="K90" s="11">
        <f t="shared" si="67"/>
        <v>3.380741232036207</v>
      </c>
      <c r="L90" s="11">
        <f t="shared" si="68"/>
        <v>181.64984567831442</v>
      </c>
      <c r="M90" s="15">
        <f t="shared" si="69"/>
        <v>9.95692429388567</v>
      </c>
      <c r="N90" s="11">
        <f t="shared" si="70"/>
        <v>508.40506088724084</v>
      </c>
      <c r="O90" s="11">
        <f t="shared" si="71"/>
        <v>2140.5825672889487</v>
      </c>
      <c r="P90" s="11">
        <f t="shared" si="72"/>
        <v>246.77900211167633</v>
      </c>
      <c r="Q90" s="121">
        <f t="shared" si="73"/>
        <v>3090.754141492102</v>
      </c>
      <c r="R90" s="90">
        <f t="shared" si="89"/>
        <v>0.02438254650489173</v>
      </c>
      <c r="S90" s="28"/>
      <c r="T90" s="79">
        <f t="shared" si="74"/>
        <v>4.035477551568385</v>
      </c>
      <c r="U90" s="80">
        <f t="shared" si="75"/>
        <v>3.7060354147408563</v>
      </c>
      <c r="V90" s="80">
        <f t="shared" si="76"/>
        <v>3.470915671953471</v>
      </c>
      <c r="W90" s="80">
        <f t="shared" si="77"/>
        <v>3.3500373712406137</v>
      </c>
      <c r="X90" s="81">
        <f t="shared" si="78"/>
        <v>3.3557685939294073</v>
      </c>
      <c r="Y90" s="165">
        <f t="shared" si="79"/>
        <v>2260.171801644681</v>
      </c>
      <c r="Z90" s="165">
        <f t="shared" si="80"/>
        <v>2176.3217071149784</v>
      </c>
      <c r="AA90" s="165">
        <f t="shared" si="81"/>
        <v>2111.553292072787</v>
      </c>
      <c r="AB90" s="165">
        <f t="shared" si="82"/>
        <v>2076.591125802476</v>
      </c>
      <c r="AC90" s="165">
        <f t="shared" si="83"/>
        <v>2078.274909809823</v>
      </c>
      <c r="AD90" s="172">
        <f t="shared" si="84"/>
        <v>306.07493994089253</v>
      </c>
      <c r="AE90" s="173">
        <f t="shared" si="85"/>
        <v>261.3944404346363</v>
      </c>
      <c r="AF90" s="173">
        <f t="shared" si="86"/>
        <v>231.6474926692426</v>
      </c>
      <c r="AG90" s="173">
        <f t="shared" si="87"/>
        <v>217.04829405308624</v>
      </c>
      <c r="AH90" s="174">
        <f t="shared" si="88"/>
        <v>217.7298434605242</v>
      </c>
      <c r="AI90" s="28"/>
      <c r="BX90"/>
    </row>
    <row r="91" spans="1:76" ht="16.5">
      <c r="A91" s="18">
        <v>53</v>
      </c>
      <c r="B91" s="4">
        <v>-0.4933396757856654</v>
      </c>
      <c r="C91" s="11">
        <v>169.5704965161943</v>
      </c>
      <c r="D91" s="4">
        <v>-1.857988197278325</v>
      </c>
      <c r="E91" s="4">
        <f t="shared" si="61"/>
        <v>1.9223694173935106</v>
      </c>
      <c r="F91" s="83">
        <f t="shared" si="62"/>
        <v>0.23254285919663698</v>
      </c>
      <c r="G91" s="86">
        <f t="shared" si="63"/>
        <v>79.9295293500798</v>
      </c>
      <c r="H91" s="88">
        <f t="shared" si="64"/>
        <v>0.8757898643781876</v>
      </c>
      <c r="I91" s="88">
        <f t="shared" si="65"/>
        <v>0.9061368924786757</v>
      </c>
      <c r="J91" s="57">
        <f t="shared" si="66"/>
        <v>3.6241471574341837</v>
      </c>
      <c r="K91" s="11">
        <f t="shared" si="67"/>
        <v>3.1995585511109725</v>
      </c>
      <c r="L91" s="11">
        <f t="shared" si="68"/>
        <v>170.43853726255907</v>
      </c>
      <c r="M91" s="15">
        <f t="shared" si="69"/>
        <v>10.973049686626942</v>
      </c>
      <c r="N91" s="11">
        <f t="shared" si="70"/>
        <v>543.9765529253608</v>
      </c>
      <c r="O91" s="11">
        <f t="shared" si="71"/>
        <v>2178.6716163173674</v>
      </c>
      <c r="P91" s="11">
        <f t="shared" si="72"/>
        <v>264.3717192083923</v>
      </c>
      <c r="Q91" s="121">
        <f t="shared" si="73"/>
        <v>3171.6310339514175</v>
      </c>
      <c r="R91" s="90">
        <f t="shared" si="89"/>
        <v>0.02502057350454444</v>
      </c>
      <c r="S91" s="28"/>
      <c r="T91" s="79">
        <f t="shared" si="74"/>
        <v>4.122727597898117</v>
      </c>
      <c r="U91" s="80">
        <f t="shared" si="75"/>
        <v>3.831272756381121</v>
      </c>
      <c r="V91" s="80">
        <f t="shared" si="76"/>
        <v>3.6241471574341837</v>
      </c>
      <c r="W91" s="80">
        <f t="shared" si="77"/>
        <v>3.516284672963925</v>
      </c>
      <c r="X91" s="81">
        <f t="shared" si="78"/>
        <v>3.51683050224722</v>
      </c>
      <c r="Y91" s="165">
        <f t="shared" si="79"/>
        <v>2281.0761890455237</v>
      </c>
      <c r="Z91" s="165">
        <f t="shared" si="80"/>
        <v>2209.1272023469937</v>
      </c>
      <c r="AA91" s="165">
        <f t="shared" si="81"/>
        <v>2154.2406517795475</v>
      </c>
      <c r="AB91" s="165">
        <f t="shared" si="82"/>
        <v>2124.380343827209</v>
      </c>
      <c r="AC91" s="165">
        <f t="shared" si="83"/>
        <v>2124.5336945875633</v>
      </c>
      <c r="AD91" s="172">
        <f t="shared" si="84"/>
        <v>318.4946358981228</v>
      </c>
      <c r="AE91" s="173">
        <f t="shared" si="85"/>
        <v>277.96720848894574</v>
      </c>
      <c r="AF91" s="173">
        <f t="shared" si="86"/>
        <v>250.83168001484387</v>
      </c>
      <c r="AG91" s="173">
        <f t="shared" si="87"/>
        <v>237.24864031193164</v>
      </c>
      <c r="AH91" s="174">
        <f t="shared" si="88"/>
        <v>237.31643132811726</v>
      </c>
      <c r="AI91" s="28"/>
      <c r="BX91"/>
    </row>
    <row r="92" spans="1:76" ht="16.5">
      <c r="A92" s="18">
        <v>54</v>
      </c>
      <c r="B92" s="4">
        <v>-0.4787903408554657</v>
      </c>
      <c r="C92" s="11">
        <v>157.24990032700651</v>
      </c>
      <c r="D92" s="4">
        <v>-1.9528091483623131</v>
      </c>
      <c r="E92" s="4">
        <f t="shared" si="61"/>
        <v>2.010647597274081</v>
      </c>
      <c r="F92" s="83">
        <f t="shared" si="62"/>
        <v>0.2256848177494535</v>
      </c>
      <c r="G92" s="86">
        <f t="shared" si="63"/>
        <v>74.12203644921354</v>
      </c>
      <c r="H92" s="88">
        <f t="shared" si="64"/>
        <v>0.9204851041066759</v>
      </c>
      <c r="I92" s="88">
        <f t="shared" si="65"/>
        <v>0.947748101472581</v>
      </c>
      <c r="J92" s="57">
        <f t="shared" si="66"/>
        <v>3.7905736058487767</v>
      </c>
      <c r="K92" s="11">
        <f t="shared" si="67"/>
        <v>3.013621701352976</v>
      </c>
      <c r="L92" s="11">
        <f t="shared" si="68"/>
        <v>158.33988273476754</v>
      </c>
      <c r="M92" s="15">
        <f t="shared" si="69"/>
        <v>12.121630626708402</v>
      </c>
      <c r="N92" s="11">
        <f t="shared" si="70"/>
        <v>583.4001010668243</v>
      </c>
      <c r="O92" s="11">
        <f t="shared" si="71"/>
        <v>2218.17840115416</v>
      </c>
      <c r="P92" s="11">
        <f t="shared" si="72"/>
        <v>284.14094541638354</v>
      </c>
      <c r="Q92" s="121">
        <f t="shared" si="73"/>
        <v>3259.194582700197</v>
      </c>
      <c r="R92" s="90">
        <f t="shared" si="89"/>
        <v>0.02571135064234349</v>
      </c>
      <c r="S92" s="28"/>
      <c r="T92" s="79">
        <f t="shared" si="74"/>
        <v>4.21694815591105</v>
      </c>
      <c r="U92" s="80">
        <f t="shared" si="75"/>
        <v>3.9677114140670384</v>
      </c>
      <c r="V92" s="80">
        <f t="shared" si="76"/>
        <v>3.7905736058487767</v>
      </c>
      <c r="W92" s="80">
        <f t="shared" si="77"/>
        <v>3.6959159808848794</v>
      </c>
      <c r="X92" s="81">
        <f t="shared" si="78"/>
        <v>3.690091312491654</v>
      </c>
      <c r="Y92" s="165">
        <f t="shared" si="79"/>
        <v>2303.0529095454995</v>
      </c>
      <c r="Z92" s="165">
        <f t="shared" si="80"/>
        <v>2243.5641090286076</v>
      </c>
      <c r="AA92" s="165">
        <f t="shared" si="81"/>
        <v>2198.592938636095</v>
      </c>
      <c r="AB92" s="165">
        <f t="shared" si="82"/>
        <v>2173.620231865456</v>
      </c>
      <c r="AC92" s="165">
        <f t="shared" si="83"/>
        <v>2172.061816695143</v>
      </c>
      <c r="AD92" s="172">
        <f t="shared" si="84"/>
        <v>332.1823529432489</v>
      </c>
      <c r="AE92" s="173">
        <f t="shared" si="85"/>
        <v>296.59814484604254</v>
      </c>
      <c r="AF92" s="173">
        <f t="shared" si="86"/>
        <v>272.5259562193411</v>
      </c>
      <c r="AG92" s="173">
        <f t="shared" si="87"/>
        <v>260.07742074977017</v>
      </c>
      <c r="AH92" s="174">
        <f t="shared" si="88"/>
        <v>259.320852323515</v>
      </c>
      <c r="AI92" s="28"/>
      <c r="BX92"/>
    </row>
    <row r="93" spans="1:76" ht="16.5">
      <c r="A93" s="11">
        <f>J26</f>
        <v>55.21613681534294</v>
      </c>
      <c r="B93" s="4">
        <v>-0.4635021370273096</v>
      </c>
      <c r="C93" s="11">
        <v>140.2893426549694</v>
      </c>
      <c r="D93" s="4">
        <v>-2.0562244163677725</v>
      </c>
      <c r="E93" s="4">
        <f t="shared" si="61"/>
        <v>2.1078171366358776</v>
      </c>
      <c r="F93" s="83">
        <f t="shared" si="62"/>
        <v>0.2184784996593493</v>
      </c>
      <c r="G93" s="86">
        <f t="shared" si="63"/>
        <v>66.12742995756275</v>
      </c>
      <c r="H93" s="88">
        <f t="shared" si="64"/>
        <v>0.9692314005975831</v>
      </c>
      <c r="I93" s="88">
        <f t="shared" si="65"/>
        <v>0.9935503825764211</v>
      </c>
      <c r="J93" s="57">
        <f t="shared" si="66"/>
        <v>3.9737624907118767</v>
      </c>
      <c r="K93" s="11">
        <f t="shared" si="67"/>
        <v>2.8242390630539322</v>
      </c>
      <c r="L93" s="11">
        <f t="shared" si="68"/>
        <v>145.13671425515471</v>
      </c>
      <c r="M93" s="15">
        <f t="shared" si="69"/>
        <v>13.439480072001823</v>
      </c>
      <c r="N93" s="11">
        <f t="shared" si="70"/>
        <v>627.7070064346938</v>
      </c>
      <c r="O93" s="11">
        <f t="shared" si="71"/>
        <v>2259.4738280622537</v>
      </c>
      <c r="P93" s="11">
        <f t="shared" si="72"/>
        <v>306.6587950083117</v>
      </c>
      <c r="Q93" s="121">
        <f t="shared" si="73"/>
        <v>3355.2400628954697</v>
      </c>
      <c r="R93" s="90">
        <f>Q93*J$29*(A93-A92)</f>
        <v>0.032189974745524014</v>
      </c>
      <c r="S93" s="28"/>
      <c r="T93" s="79">
        <f t="shared" si="74"/>
        <v>4.318484524315632</v>
      </c>
      <c r="U93" s="80">
        <f t="shared" si="75"/>
        <v>4.117663649992096</v>
      </c>
      <c r="V93" s="80">
        <f t="shared" si="76"/>
        <v>3.9737624907118767</v>
      </c>
      <c r="W93" s="80">
        <f t="shared" si="77"/>
        <v>3.8930979670592545</v>
      </c>
      <c r="X93" s="81">
        <f t="shared" si="78"/>
        <v>3.879616511984523</v>
      </c>
      <c r="Y93" s="165">
        <f t="shared" si="79"/>
        <v>2326.0497372277723</v>
      </c>
      <c r="Z93" s="165">
        <f t="shared" si="80"/>
        <v>2279.877523954494</v>
      </c>
      <c r="AA93" s="165">
        <f t="shared" si="81"/>
        <v>2245.060368702234</v>
      </c>
      <c r="AB93" s="165">
        <f t="shared" si="82"/>
        <v>2224.8984483603517</v>
      </c>
      <c r="AC93" s="165">
        <f t="shared" si="83"/>
        <v>2221.483062066417</v>
      </c>
      <c r="AD93" s="172">
        <f t="shared" si="84"/>
        <v>347.2534697526088</v>
      </c>
      <c r="AE93" s="173">
        <f t="shared" si="85"/>
        <v>317.7670899982834</v>
      </c>
      <c r="AF93" s="173">
        <f t="shared" si="86"/>
        <v>297.43833753153933</v>
      </c>
      <c r="AG93" s="173">
        <f t="shared" si="87"/>
        <v>286.33514069994254</v>
      </c>
      <c r="AH93" s="174">
        <f t="shared" si="88"/>
        <v>284.4999370591845</v>
      </c>
      <c r="AI93" s="28"/>
      <c r="BX93"/>
    </row>
    <row r="94" spans="1:76" ht="6" customHeight="1">
      <c r="A94" s="11"/>
      <c r="B94" s="4"/>
      <c r="D94" s="4"/>
      <c r="E94" s="4"/>
      <c r="F94" s="83"/>
      <c r="G94" s="86"/>
      <c r="H94" s="88"/>
      <c r="I94" s="88"/>
      <c r="J94" s="57"/>
      <c r="L94" s="11"/>
      <c r="M94" s="15"/>
      <c r="N94" s="11"/>
      <c r="O94" s="11"/>
      <c r="P94" s="11"/>
      <c r="Q94" s="121"/>
      <c r="R94" s="90"/>
      <c r="S94" s="28"/>
      <c r="T94" s="79"/>
      <c r="U94" s="80"/>
      <c r="V94" s="80"/>
      <c r="W94" s="80"/>
      <c r="X94" s="81"/>
      <c r="Y94" s="165"/>
      <c r="Z94" s="165"/>
      <c r="AA94" s="165"/>
      <c r="AB94" s="165"/>
      <c r="AC94" s="165"/>
      <c r="AD94" s="172"/>
      <c r="AE94" s="173"/>
      <c r="AF94" s="173"/>
      <c r="AG94" s="173"/>
      <c r="AH94" s="174"/>
      <c r="AI94" s="28"/>
      <c r="BX94"/>
    </row>
    <row r="95" spans="1:76" ht="16.5">
      <c r="A95" s="11">
        <f>I27</f>
        <v>66.20526072708387</v>
      </c>
      <c r="B95" s="4">
        <v>-0.3268494801752908</v>
      </c>
      <c r="C95" s="11">
        <v>103.8678988060364</v>
      </c>
      <c r="D95" s="4">
        <v>-1.4315649793308114</v>
      </c>
      <c r="E95" s="4">
        <f aca="true" t="shared" si="90" ref="E95:E102">SQRT(B95^2+D95^2)</f>
        <v>1.468403511551673</v>
      </c>
      <c r="F95" s="83">
        <f aca="true" t="shared" si="91" ref="F95:F102">-B95*$E$29*(1-$E$33)/$E$30/$E$34</f>
        <v>0.15406527465250566</v>
      </c>
      <c r="G95" s="86">
        <f aca="true" t="shared" si="92" ref="G95:G102">C95*$E$29*(1-$E$33)/$E$30/$E$34</f>
        <v>48.95965062740344</v>
      </c>
      <c r="H95" s="88">
        <f aca="true" t="shared" si="93" ref="H95:H102">-D95*$E$29*(1-$E$33)/$E$30/$E$34</f>
        <v>0.6747890545985441</v>
      </c>
      <c r="I95" s="88">
        <f aca="true" t="shared" si="94" ref="I95:I102">E95*$E$29*(1-$E$33)/$E$30/$E$34</f>
        <v>0.6921534346225184</v>
      </c>
      <c r="J95" s="57">
        <f aca="true" t="shared" si="95" ref="J95:J102">E95*E$29/E$30</f>
        <v>2.7683078830768824</v>
      </c>
      <c r="K95" s="11">
        <f aca="true" t="shared" si="96" ref="K95:K102">L$33*E$14/120*F95^2/E$8*E$7*E$10*(E$10-1)*E$5/E$6</f>
        <v>1.4044088938683639</v>
      </c>
      <c r="L95" s="11">
        <f aca="true" t="shared" si="97" ref="L95:L102">L$34*E$14/6*F95^2/E$9*E$7*E$5/E$6*(1+(G95*E$5/F95)^2/15)</f>
        <v>73.10506548979212</v>
      </c>
      <c r="M95" s="15">
        <f aca="true" t="shared" si="98" ref="M95:M102">L$35*E$14/8*H95^2/E$9*E$7*E$6/E$5</f>
        <v>6.514237304438195</v>
      </c>
      <c r="N95" s="11">
        <f aca="true" t="shared" si="99" ref="N95:N102">E$14*E$15*(E$12/E$11)^2*J95*(1-E$33)/E$34^2*(E$20/2/PI())^2/E$19*LN((E$18+E$19*J95)/(E$18+E$19*E$33*J95))</f>
        <v>355.0406758113056</v>
      </c>
      <c r="O95" s="11">
        <f aca="true" t="shared" si="100" ref="O95:O102">(Y95+Z95+AA95+AB95+AC95)/5</f>
        <v>1907.5306037674422</v>
      </c>
      <c r="P95" s="11">
        <f aca="true" t="shared" si="101" ref="P95:P102">(AD95+AE95+AF95+AG95+AH95)/5</f>
        <v>158.5962575970759</v>
      </c>
      <c r="Q95" s="121">
        <f aca="true" t="shared" si="102" ref="Q95:Q102">SUM(K95:P95)</f>
        <v>2502.1912488639223</v>
      </c>
      <c r="R95" s="90">
        <f>Q95*J$29*(A96-A95)</f>
        <v>0.01568771810817216</v>
      </c>
      <c r="S95" s="28"/>
      <c r="T95" s="79">
        <f aca="true" t="shared" si="103" ref="T95:T102">SQRT(($B95-$C95*0.8*$E$5)^2+$D95^2)*$E$29/$E$30</f>
        <v>3.0304422911921893</v>
      </c>
      <c r="U95" s="80">
        <f aca="true" t="shared" si="104" ref="U95:U102">SQRT(($B95-$C95*0.4*$E$5)^2+$D95^2)*$E$29/$E$30</f>
        <v>2.8772118312765333</v>
      </c>
      <c r="V95" s="80">
        <f aca="true" t="shared" si="105" ref="V95:V102">SQRT(($B95)^2+$D95^2)*$E$29/$E$30</f>
        <v>2.7683078830768824</v>
      </c>
      <c r="W95" s="80">
        <f aca="true" t="shared" si="106" ref="W95:W102">SQRT(($B95+$C95*0.4*$E$5)^2+$D95^2)*$E$29/$E$30</f>
        <v>2.7090814533066383</v>
      </c>
      <c r="X95" s="81">
        <f aca="true" t="shared" si="107" ref="X95:X102">SQRT(($B95+$C95*0.8*$E$5)^2+$D95^2)*$E$29/$E$30</f>
        <v>2.702800265922522</v>
      </c>
      <c r="Y95" s="165">
        <f aca="true" t="shared" si="108" ref="Y95:AC102">$L$36*$E$14*$E$15*$E$17/$E$34*2/3*$E$21/PI()*($E$22*$E$23*LN((T95+$E$23)/($E$33*T95+$E$23))+$E$24*T95*(1-$E$33)+$E$25*T95^2/2*(1-$E$33^2))</f>
        <v>1978.4445221466672</v>
      </c>
      <c r="Z95" s="165">
        <f t="shared" si="108"/>
        <v>1928.3057455912528</v>
      </c>
      <c r="AA95" s="165">
        <f t="shared" si="108"/>
        <v>1891.3912270744001</v>
      </c>
      <c r="AB95" s="165">
        <f t="shared" si="108"/>
        <v>1870.8544685177476</v>
      </c>
      <c r="AC95" s="165">
        <f t="shared" si="108"/>
        <v>1868.6570555071428</v>
      </c>
      <c r="AD95" s="172">
        <f aca="true" t="shared" si="109" ref="AD95:AH102">1/9/PI()*$E$21/$E$34*$E$28^2*T95*(3*T95+4*$E$27)/($E$26*$E$27*$E$14*$E$15*$E$17*16*$E$5^2*$E$6^2)</f>
        <v>180.71955981492943</v>
      </c>
      <c r="AE95" s="173">
        <f t="shared" si="109"/>
        <v>164.47032597823812</v>
      </c>
      <c r="AF95" s="173">
        <f t="shared" si="109"/>
        <v>153.3821443590454</v>
      </c>
      <c r="AG95" s="173">
        <f t="shared" si="109"/>
        <v>147.51255645071126</v>
      </c>
      <c r="AH95" s="174">
        <f t="shared" si="109"/>
        <v>146.8967013824553</v>
      </c>
      <c r="AI95" s="28"/>
      <c r="BX95"/>
    </row>
    <row r="96" spans="1:76" ht="16.5">
      <c r="A96" s="18">
        <v>67</v>
      </c>
      <c r="B96" s="4">
        <v>-0.3163960523853646</v>
      </c>
      <c r="C96" s="11">
        <v>116.97068031077002</v>
      </c>
      <c r="D96" s="4">
        <v>-1.5031113978909254</v>
      </c>
      <c r="E96" s="4">
        <f t="shared" si="90"/>
        <v>1.536050238903225</v>
      </c>
      <c r="F96" s="83">
        <f t="shared" si="91"/>
        <v>0.14913789883825812</v>
      </c>
      <c r="G96" s="86">
        <f t="shared" si="92"/>
        <v>55.135837997063405</v>
      </c>
      <c r="H96" s="88">
        <f t="shared" si="93"/>
        <v>0.7085135036016617</v>
      </c>
      <c r="I96" s="88">
        <f t="shared" si="94"/>
        <v>0.7240397072369666</v>
      </c>
      <c r="J96" s="57">
        <f t="shared" si="95"/>
        <v>2.895838883322017</v>
      </c>
      <c r="K96" s="11">
        <f t="shared" si="96"/>
        <v>1.3160127182329022</v>
      </c>
      <c r="L96" s="11">
        <f t="shared" si="97"/>
        <v>71.83108369848844</v>
      </c>
      <c r="M96" s="15">
        <f t="shared" si="98"/>
        <v>7.181642463037146</v>
      </c>
      <c r="N96" s="11">
        <f t="shared" si="99"/>
        <v>381.60991906127066</v>
      </c>
      <c r="O96" s="11">
        <f t="shared" si="100"/>
        <v>1953.5530415832432</v>
      </c>
      <c r="P96" s="11">
        <f t="shared" si="101"/>
        <v>172.9913872491589</v>
      </c>
      <c r="Q96" s="121">
        <f t="shared" si="102"/>
        <v>2588.4830867734313</v>
      </c>
      <c r="R96" s="90">
        <f aca="true" t="shared" si="110" ref="R96:R101">Q96*J$29</f>
        <v>0.020420197256424244</v>
      </c>
      <c r="S96" s="28"/>
      <c r="T96" s="79">
        <f t="shared" si="103"/>
        <v>3.185337093697317</v>
      </c>
      <c r="U96" s="80">
        <f t="shared" si="104"/>
        <v>3.013631547605263</v>
      </c>
      <c r="V96" s="80">
        <f t="shared" si="105"/>
        <v>2.895838883322017</v>
      </c>
      <c r="W96" s="80">
        <f t="shared" si="106"/>
        <v>2.838678495497176</v>
      </c>
      <c r="X96" s="81">
        <f t="shared" si="107"/>
        <v>2.8458062816426746</v>
      </c>
      <c r="Y96" s="165">
        <f t="shared" si="108"/>
        <v>2027.0694698983175</v>
      </c>
      <c r="Z96" s="165">
        <f t="shared" si="108"/>
        <v>1973.0442768675828</v>
      </c>
      <c r="AA96" s="165">
        <f t="shared" si="108"/>
        <v>1934.5117422955695</v>
      </c>
      <c r="AB96" s="165">
        <f t="shared" si="108"/>
        <v>1915.3682124335792</v>
      </c>
      <c r="AC96" s="165">
        <f t="shared" si="108"/>
        <v>1917.7715064211682</v>
      </c>
      <c r="AD96" s="172">
        <f t="shared" si="109"/>
        <v>197.91512889306264</v>
      </c>
      <c r="AE96" s="173">
        <f t="shared" si="109"/>
        <v>178.89988300015273</v>
      </c>
      <c r="AF96" s="173">
        <f t="shared" si="109"/>
        <v>166.40517832268625</v>
      </c>
      <c r="AG96" s="173">
        <f t="shared" si="109"/>
        <v>160.50327117117087</v>
      </c>
      <c r="AH96" s="174">
        <f t="shared" si="109"/>
        <v>161.2334748587221</v>
      </c>
      <c r="AI96" s="28"/>
      <c r="BX96"/>
    </row>
    <row r="97" spans="1:76" ht="16.5">
      <c r="A97" s="18">
        <v>68</v>
      </c>
      <c r="B97" s="4">
        <v>-0.3060447855019479</v>
      </c>
      <c r="C97" s="11">
        <v>124.38540401609183</v>
      </c>
      <c r="D97" s="4">
        <v>-1.6262178333673354</v>
      </c>
      <c r="E97" s="4">
        <f t="shared" si="90"/>
        <v>1.6547651955171416</v>
      </c>
      <c r="F97" s="83">
        <f t="shared" si="91"/>
        <v>0.14425867805889603</v>
      </c>
      <c r="G97" s="86">
        <f t="shared" si="92"/>
        <v>58.63087627437747</v>
      </c>
      <c r="H97" s="88">
        <f t="shared" si="93"/>
        <v>0.7665415193812563</v>
      </c>
      <c r="I97" s="88">
        <f t="shared" si="94"/>
        <v>0.7799977353368568</v>
      </c>
      <c r="J97" s="57">
        <f t="shared" si="95"/>
        <v>3.1196462684502104</v>
      </c>
      <c r="K97" s="11">
        <f t="shared" si="96"/>
        <v>1.231311519137057</v>
      </c>
      <c r="L97" s="11">
        <f t="shared" si="97"/>
        <v>69.69478298055324</v>
      </c>
      <c r="M97" s="15">
        <f t="shared" si="98"/>
        <v>8.406183820542688</v>
      </c>
      <c r="N97" s="11">
        <f t="shared" si="99"/>
        <v>429.6406803360929</v>
      </c>
      <c r="O97" s="11">
        <f t="shared" si="100"/>
        <v>2025.7393832262</v>
      </c>
      <c r="P97" s="11">
        <f t="shared" si="101"/>
        <v>197.92887975246754</v>
      </c>
      <c r="Q97" s="121">
        <f t="shared" si="102"/>
        <v>2732.6412216349936</v>
      </c>
      <c r="R97" s="90">
        <f t="shared" si="110"/>
        <v>0.021557441523166083</v>
      </c>
      <c r="S97" s="28"/>
      <c r="T97" s="79">
        <f t="shared" si="103"/>
        <v>3.408564448882613</v>
      </c>
      <c r="U97" s="80">
        <f t="shared" si="104"/>
        <v>3.235276345538981</v>
      </c>
      <c r="V97" s="80">
        <f t="shared" si="105"/>
        <v>3.1196462684502104</v>
      </c>
      <c r="W97" s="80">
        <f t="shared" si="106"/>
        <v>3.068199965279351</v>
      </c>
      <c r="X97" s="81">
        <f t="shared" si="107"/>
        <v>3.0841510326277355</v>
      </c>
      <c r="Y97" s="165">
        <f t="shared" si="108"/>
        <v>2093.6630590701825</v>
      </c>
      <c r="Z97" s="165">
        <f t="shared" si="108"/>
        <v>2042.3187373135077</v>
      </c>
      <c r="AA97" s="165">
        <f t="shared" si="108"/>
        <v>2006.6950457254502</v>
      </c>
      <c r="AB97" s="165">
        <f t="shared" si="108"/>
        <v>1990.4850443230846</v>
      </c>
      <c r="AC97" s="165">
        <f t="shared" si="108"/>
        <v>1995.5350296987754</v>
      </c>
      <c r="AD97" s="172">
        <f t="shared" si="109"/>
        <v>224.05809835098</v>
      </c>
      <c r="AE97" s="173">
        <f t="shared" si="109"/>
        <v>203.62410888855106</v>
      </c>
      <c r="AF97" s="173">
        <f t="shared" si="109"/>
        <v>190.52797430253784</v>
      </c>
      <c r="AG97" s="173">
        <f t="shared" si="109"/>
        <v>184.83986854074752</v>
      </c>
      <c r="AH97" s="174">
        <f t="shared" si="109"/>
        <v>186.59434867952126</v>
      </c>
      <c r="AI97" s="28"/>
      <c r="BX97"/>
    </row>
    <row r="98" spans="1:76" ht="16.5">
      <c r="A98" s="18">
        <v>69</v>
      </c>
      <c r="B98" s="4">
        <v>-0.29536781640040477</v>
      </c>
      <c r="C98" s="11">
        <v>126.9506343646594</v>
      </c>
      <c r="D98" s="4">
        <v>-1.7448986966969309</v>
      </c>
      <c r="E98" s="4">
        <f t="shared" si="90"/>
        <v>1.7697213364537907</v>
      </c>
      <c r="F98" s="83">
        <f t="shared" si="91"/>
        <v>0.13922593278359874</v>
      </c>
      <c r="G98" s="86">
        <f t="shared" si="92"/>
        <v>59.84003505286797</v>
      </c>
      <c r="H98" s="88">
        <f t="shared" si="93"/>
        <v>0.8224834771138019</v>
      </c>
      <c r="I98" s="88">
        <f t="shared" si="94"/>
        <v>0.8341839907866088</v>
      </c>
      <c r="J98" s="57">
        <f t="shared" si="95"/>
        <v>3.336367345905781</v>
      </c>
      <c r="K98" s="11">
        <f t="shared" si="96"/>
        <v>1.1468967409133408</v>
      </c>
      <c r="L98" s="11">
        <f t="shared" si="97"/>
        <v>66.5050821090792</v>
      </c>
      <c r="M98" s="15">
        <f t="shared" si="98"/>
        <v>9.67791671850925</v>
      </c>
      <c r="N98" s="11">
        <f t="shared" si="99"/>
        <v>477.7668132203092</v>
      </c>
      <c r="O98" s="11">
        <f t="shared" si="100"/>
        <v>2090.2516542542753</v>
      </c>
      <c r="P98" s="11">
        <f t="shared" si="101"/>
        <v>223.09496291238034</v>
      </c>
      <c r="Q98" s="121">
        <f t="shared" si="102"/>
        <v>2868.4433259554667</v>
      </c>
      <c r="R98" s="90">
        <f t="shared" si="110"/>
        <v>0.02262876618131491</v>
      </c>
      <c r="S98" s="28"/>
      <c r="T98" s="79">
        <f t="shared" si="103"/>
        <v>3.610595091238485</v>
      </c>
      <c r="U98" s="80">
        <f t="shared" si="104"/>
        <v>3.444844713211817</v>
      </c>
      <c r="V98" s="80">
        <f t="shared" si="105"/>
        <v>3.336367345905781</v>
      </c>
      <c r="W98" s="80">
        <f t="shared" si="106"/>
        <v>3.2908316302911023</v>
      </c>
      <c r="X98" s="81">
        <f t="shared" si="107"/>
        <v>3.3108355976154145</v>
      </c>
      <c r="Y98" s="165">
        <f t="shared" si="108"/>
        <v>2150.537640098232</v>
      </c>
      <c r="Z98" s="165">
        <f t="shared" si="108"/>
        <v>2104.1098886252826</v>
      </c>
      <c r="AA98" s="165">
        <f t="shared" si="108"/>
        <v>2072.564393650864</v>
      </c>
      <c r="AB98" s="165">
        <f t="shared" si="108"/>
        <v>2059.042873045361</v>
      </c>
      <c r="AC98" s="165">
        <f t="shared" si="108"/>
        <v>2065.003475851638</v>
      </c>
      <c r="AD98" s="172">
        <f t="shared" si="109"/>
        <v>249.10446285341214</v>
      </c>
      <c r="AE98" s="173">
        <f t="shared" si="109"/>
        <v>228.45887729924917</v>
      </c>
      <c r="AF98" s="173">
        <f t="shared" si="109"/>
        <v>215.42695070678565</v>
      </c>
      <c r="AG98" s="173">
        <f t="shared" si="109"/>
        <v>210.06964021628463</v>
      </c>
      <c r="AH98" s="174">
        <f t="shared" si="109"/>
        <v>212.4148834861701</v>
      </c>
      <c r="AI98" s="28"/>
      <c r="BX98"/>
    </row>
    <row r="99" spans="1:76" ht="16.5">
      <c r="A99" s="18">
        <v>70</v>
      </c>
      <c r="B99" s="4">
        <v>-0.2833675986125561</v>
      </c>
      <c r="C99" s="11">
        <v>125.64999275201042</v>
      </c>
      <c r="D99" s="4">
        <v>-1.8630264814476016</v>
      </c>
      <c r="E99" s="4">
        <f t="shared" si="90"/>
        <v>1.8844534662650807</v>
      </c>
      <c r="F99" s="83">
        <f t="shared" si="91"/>
        <v>0.13356945491989447</v>
      </c>
      <c r="G99" s="86">
        <f t="shared" si="92"/>
        <v>59.22695863870394</v>
      </c>
      <c r="H99" s="88">
        <f t="shared" si="93"/>
        <v>0.8781647331829372</v>
      </c>
      <c r="I99" s="88">
        <f t="shared" si="94"/>
        <v>0.8882646553217443</v>
      </c>
      <c r="J99" s="57">
        <f t="shared" si="95"/>
        <v>3.5526661063624143</v>
      </c>
      <c r="K99" s="11">
        <f t="shared" si="96"/>
        <v>1.0555975011574825</v>
      </c>
      <c r="L99" s="11">
        <f t="shared" si="97"/>
        <v>62.09981010876526</v>
      </c>
      <c r="M99" s="15">
        <f t="shared" si="98"/>
        <v>11.032641347008783</v>
      </c>
      <c r="N99" s="11">
        <f t="shared" si="99"/>
        <v>527.294440479986</v>
      </c>
      <c r="O99" s="11">
        <f t="shared" si="100"/>
        <v>2150.0544545241546</v>
      </c>
      <c r="P99" s="11">
        <f t="shared" si="101"/>
        <v>249.26416846129936</v>
      </c>
      <c r="Q99" s="121">
        <f t="shared" si="102"/>
        <v>3000.8011124223717</v>
      </c>
      <c r="R99" s="90">
        <f t="shared" si="110"/>
        <v>0.02367291907606954</v>
      </c>
      <c r="S99" s="28"/>
      <c r="T99" s="79">
        <f t="shared" si="103"/>
        <v>3.80216453819567</v>
      </c>
      <c r="U99" s="80">
        <f t="shared" si="104"/>
        <v>3.6505411786021598</v>
      </c>
      <c r="V99" s="80">
        <f t="shared" si="105"/>
        <v>3.5526661063624143</v>
      </c>
      <c r="W99" s="80">
        <f t="shared" si="106"/>
        <v>3.5130345679186528</v>
      </c>
      <c r="X99" s="81">
        <f t="shared" si="107"/>
        <v>3.533606816406629</v>
      </c>
      <c r="Y99" s="165">
        <f t="shared" si="108"/>
        <v>2201.605411421719</v>
      </c>
      <c r="Z99" s="165">
        <f t="shared" si="108"/>
        <v>2161.4127992968415</v>
      </c>
      <c r="AA99" s="165">
        <f t="shared" si="108"/>
        <v>2134.5515129250803</v>
      </c>
      <c r="AB99" s="165">
        <f t="shared" si="108"/>
        <v>2123.4667504643976</v>
      </c>
      <c r="AC99" s="165">
        <f t="shared" si="108"/>
        <v>2129.235798512734</v>
      </c>
      <c r="AD99" s="172">
        <f t="shared" si="109"/>
        <v>274.07015788063205</v>
      </c>
      <c r="AE99" s="173">
        <f t="shared" si="109"/>
        <v>254.2126168996654</v>
      </c>
      <c r="AF99" s="173">
        <f t="shared" si="109"/>
        <v>241.78817858644035</v>
      </c>
      <c r="AG99" s="173">
        <f t="shared" si="109"/>
        <v>236.84518210537226</v>
      </c>
      <c r="AH99" s="174">
        <f t="shared" si="109"/>
        <v>239.4047068343868</v>
      </c>
      <c r="AI99" s="28"/>
      <c r="BX99"/>
    </row>
    <row r="100" spans="1:76" ht="16.5">
      <c r="A100" s="18">
        <v>71</v>
      </c>
      <c r="B100" s="4">
        <v>-0.2699889150048618</v>
      </c>
      <c r="C100" s="11">
        <v>120.61920848467275</v>
      </c>
      <c r="D100" s="4">
        <v>-1.9834856507491039</v>
      </c>
      <c r="E100" s="4">
        <f t="shared" si="90"/>
        <v>2.0017765462091663</v>
      </c>
      <c r="F100" s="83">
        <f t="shared" si="91"/>
        <v>0.1272632170656902</v>
      </c>
      <c r="G100" s="86">
        <f t="shared" si="92"/>
        <v>56.855625022235564</v>
      </c>
      <c r="H100" s="88">
        <f t="shared" si="93"/>
        <v>0.9349449213995303</v>
      </c>
      <c r="I100" s="88">
        <f t="shared" si="94"/>
        <v>0.9435666020311884</v>
      </c>
      <c r="J100" s="57">
        <f t="shared" si="95"/>
        <v>3.7738494558443745</v>
      </c>
      <c r="K100" s="11">
        <f t="shared" si="96"/>
        <v>0.9582743003874248</v>
      </c>
      <c r="L100" s="11">
        <f t="shared" si="97"/>
        <v>56.576178747791964</v>
      </c>
      <c r="M100" s="15">
        <f t="shared" si="98"/>
        <v>12.505457079122674</v>
      </c>
      <c r="N100" s="11">
        <f t="shared" si="99"/>
        <v>579.4022054928021</v>
      </c>
      <c r="O100" s="11">
        <f t="shared" si="100"/>
        <v>2207.0096231238776</v>
      </c>
      <c r="P100" s="11">
        <f t="shared" si="101"/>
        <v>277.1648349358347</v>
      </c>
      <c r="Q100" s="121">
        <f t="shared" si="102"/>
        <v>3133.6165736798166</v>
      </c>
      <c r="R100" s="90">
        <f t="shared" si="110"/>
        <v>0.024720682506102487</v>
      </c>
      <c r="S100" s="28"/>
      <c r="T100" s="79">
        <f t="shared" si="103"/>
        <v>3.990761084590373</v>
      </c>
      <c r="U100" s="80">
        <f t="shared" si="104"/>
        <v>3.8585278396515528</v>
      </c>
      <c r="V100" s="80">
        <f t="shared" si="105"/>
        <v>3.7738494558443745</v>
      </c>
      <c r="W100" s="80">
        <f t="shared" si="106"/>
        <v>3.739957474666437</v>
      </c>
      <c r="X100" s="81">
        <f t="shared" si="107"/>
        <v>3.758226134784265</v>
      </c>
      <c r="Y100" s="165">
        <f t="shared" si="108"/>
        <v>2249.2496539397334</v>
      </c>
      <c r="Z100" s="165">
        <f t="shared" si="108"/>
        <v>2216.1140458489544</v>
      </c>
      <c r="AA100" s="165">
        <f t="shared" si="108"/>
        <v>2194.228941414297</v>
      </c>
      <c r="AB100" s="165">
        <f t="shared" si="108"/>
        <v>2185.3219008615756</v>
      </c>
      <c r="AC100" s="165">
        <f t="shared" si="108"/>
        <v>2190.133573554829</v>
      </c>
      <c r="AD100" s="172">
        <f t="shared" si="109"/>
        <v>299.80491420345805</v>
      </c>
      <c r="AE100" s="173">
        <f t="shared" si="109"/>
        <v>281.64093753007495</v>
      </c>
      <c r="AF100" s="173">
        <f t="shared" si="109"/>
        <v>270.30552010506085</v>
      </c>
      <c r="AG100" s="173">
        <f t="shared" si="109"/>
        <v>265.8334119733301</v>
      </c>
      <c r="AH100" s="174">
        <f t="shared" si="109"/>
        <v>268.2393908672496</v>
      </c>
      <c r="AI100" s="28"/>
      <c r="BX100"/>
    </row>
    <row r="101" spans="1:77" ht="16.5">
      <c r="A101" s="18">
        <v>72</v>
      </c>
      <c r="B101" s="4">
        <v>-0.25583793143957845</v>
      </c>
      <c r="C101" s="11">
        <v>111.28668841819632</v>
      </c>
      <c r="D101" s="4">
        <v>-2.108555433516901</v>
      </c>
      <c r="E101" s="4">
        <f t="shared" si="90"/>
        <v>2.1240195534356383</v>
      </c>
      <c r="F101" s="83">
        <f t="shared" si="91"/>
        <v>0.12059294435049656</v>
      </c>
      <c r="G101" s="86">
        <f t="shared" si="92"/>
        <v>52.456605429270006</v>
      </c>
      <c r="H101" s="88">
        <f t="shared" si="93"/>
        <v>0.9938983895908088</v>
      </c>
      <c r="I101" s="88">
        <f t="shared" si="94"/>
        <v>1.0011876282986747</v>
      </c>
      <c r="J101" s="57">
        <f t="shared" si="95"/>
        <v>4.004308098781336</v>
      </c>
      <c r="K101" s="11">
        <f t="shared" si="96"/>
        <v>0.8604543685107672</v>
      </c>
      <c r="L101" s="11">
        <f t="shared" si="97"/>
        <v>50.16842923902173</v>
      </c>
      <c r="M101" s="15">
        <f t="shared" si="98"/>
        <v>14.132255810087397</v>
      </c>
      <c r="N101" s="11">
        <f t="shared" si="99"/>
        <v>635.1852434883906</v>
      </c>
      <c r="O101" s="11">
        <f t="shared" si="100"/>
        <v>2262.274352546272</v>
      </c>
      <c r="P101" s="11">
        <f t="shared" si="101"/>
        <v>307.512677422459</v>
      </c>
      <c r="Q101" s="121">
        <f t="shared" si="102"/>
        <v>3270.1334128747417</v>
      </c>
      <c r="R101" s="90">
        <f t="shared" si="110"/>
        <v>0.025797645612189</v>
      </c>
      <c r="S101" s="28"/>
      <c r="T101" s="79">
        <f t="shared" si="103"/>
        <v>4.181975912175531</v>
      </c>
      <c r="U101" s="80">
        <f t="shared" si="104"/>
        <v>4.0736976744487245</v>
      </c>
      <c r="V101" s="80">
        <f t="shared" si="105"/>
        <v>4.004308098781336</v>
      </c>
      <c r="W101" s="80">
        <f t="shared" si="106"/>
        <v>3.9758438540122403</v>
      </c>
      <c r="X101" s="81">
        <f t="shared" si="107"/>
        <v>3.9891810873125686</v>
      </c>
      <c r="Y101" s="165">
        <f t="shared" si="108"/>
        <v>2294.9676805263</v>
      </c>
      <c r="Z101" s="165">
        <f t="shared" si="108"/>
        <v>2269.3949645088683</v>
      </c>
      <c r="AA101" s="165">
        <f t="shared" si="108"/>
        <v>2252.573557548712</v>
      </c>
      <c r="AB101" s="165">
        <f t="shared" si="108"/>
        <v>2245.5744262228136</v>
      </c>
      <c r="AC101" s="165">
        <f t="shared" si="108"/>
        <v>2248.8611339246677</v>
      </c>
      <c r="AD101" s="172">
        <f t="shared" si="109"/>
        <v>327.06840270783437</v>
      </c>
      <c r="AE101" s="173">
        <f t="shared" si="109"/>
        <v>311.4851952684244</v>
      </c>
      <c r="AF101" s="173">
        <f t="shared" si="109"/>
        <v>301.69763002750966</v>
      </c>
      <c r="AG101" s="173">
        <f t="shared" si="109"/>
        <v>297.7276080913203</v>
      </c>
      <c r="AH101" s="174">
        <f t="shared" si="109"/>
        <v>299.5845510172063</v>
      </c>
      <c r="AI101" s="28"/>
      <c r="BX101"/>
      <c r="BY101"/>
    </row>
    <row r="102" spans="1:77" ht="16.5">
      <c r="A102" s="53">
        <f>J27</f>
        <v>73.17120452647318</v>
      </c>
      <c r="B102" s="68">
        <v>-0.24045827362357386</v>
      </c>
      <c r="C102" s="53">
        <v>96.65180988093557</v>
      </c>
      <c r="D102" s="68">
        <v>-2.240046943380341</v>
      </c>
      <c r="E102" s="68">
        <f t="shared" si="90"/>
        <v>2.252915997080592</v>
      </c>
      <c r="F102" s="84">
        <f t="shared" si="91"/>
        <v>0.1133435180879443</v>
      </c>
      <c r="G102" s="53">
        <f t="shared" si="92"/>
        <v>45.55824175391731</v>
      </c>
      <c r="H102" s="68">
        <f t="shared" si="93"/>
        <v>1.0558788326091635</v>
      </c>
      <c r="I102" s="68">
        <f t="shared" si="94"/>
        <v>1.0619448489656338</v>
      </c>
      <c r="J102" s="58">
        <f t="shared" si="95"/>
        <v>4.24731013346446</v>
      </c>
      <c r="K102" s="89">
        <f t="shared" si="96"/>
        <v>0.7601117104608833</v>
      </c>
      <c r="L102" s="53">
        <f t="shared" si="97"/>
        <v>42.828857718730646</v>
      </c>
      <c r="M102" s="67">
        <f t="shared" si="98"/>
        <v>15.949816223433722</v>
      </c>
      <c r="N102" s="53">
        <f t="shared" si="99"/>
        <v>695.5664868908865</v>
      </c>
      <c r="O102" s="53">
        <f t="shared" si="100"/>
        <v>2316.491076822359</v>
      </c>
      <c r="P102" s="124">
        <f t="shared" si="101"/>
        <v>341.0232278680851</v>
      </c>
      <c r="Q102" s="122">
        <f t="shared" si="102"/>
        <v>3412.619577233956</v>
      </c>
      <c r="R102" s="91">
        <f>Q102*J$29*(A102-A101)</f>
        <v>0.03153081681486558</v>
      </c>
      <c r="S102" s="52"/>
      <c r="T102" s="95">
        <f t="shared" si="103"/>
        <v>4.380129961294766</v>
      </c>
      <c r="U102" s="96">
        <f t="shared" si="104"/>
        <v>4.299634817814037</v>
      </c>
      <c r="V102" s="96">
        <f t="shared" si="105"/>
        <v>4.24731013346446</v>
      </c>
      <c r="W102" s="96">
        <f t="shared" si="106"/>
        <v>4.224202870086319</v>
      </c>
      <c r="X102" s="97">
        <f t="shared" si="107"/>
        <v>4.230791784052434</v>
      </c>
      <c r="Y102" s="166">
        <f t="shared" si="108"/>
        <v>2339.668117588784</v>
      </c>
      <c r="Z102" s="166">
        <f t="shared" si="108"/>
        <v>2321.833907876515</v>
      </c>
      <c r="AA102" s="166">
        <f t="shared" si="108"/>
        <v>2310.003769169842</v>
      </c>
      <c r="AB102" s="166">
        <f t="shared" si="108"/>
        <v>2304.719533505671</v>
      </c>
      <c r="AC102" s="166">
        <f t="shared" si="108"/>
        <v>2306.2300559709847</v>
      </c>
      <c r="AD102" s="167">
        <f t="shared" si="109"/>
        <v>356.56580596275046</v>
      </c>
      <c r="AE102" s="166">
        <f t="shared" si="109"/>
        <v>344.43045346878233</v>
      </c>
      <c r="AF102" s="166">
        <f t="shared" si="109"/>
        <v>336.65414623772926</v>
      </c>
      <c r="AG102" s="166">
        <f t="shared" si="109"/>
        <v>333.2481426646946</v>
      </c>
      <c r="AH102" s="168">
        <f t="shared" si="109"/>
        <v>334.2175910064689</v>
      </c>
      <c r="AI102" s="28"/>
      <c r="BX102"/>
      <c r="BY102"/>
    </row>
    <row r="103" spans="2:34" ht="8.25" customHeight="1">
      <c r="B103" s="15"/>
      <c r="D103" s="2"/>
      <c r="E103" s="33"/>
      <c r="F103" s="33"/>
      <c r="G103" s="33"/>
      <c r="H103" s="33"/>
      <c r="I103" s="33"/>
      <c r="J103" s="33"/>
      <c r="L103" s="33"/>
      <c r="M103" s="33"/>
      <c r="N103" s="33"/>
      <c r="O103" s="33"/>
      <c r="P103" s="33"/>
      <c r="R103" s="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28"/>
      <c r="AE103" s="28"/>
      <c r="AF103" s="28"/>
      <c r="AG103" s="28"/>
      <c r="AH103" s="28"/>
    </row>
    <row r="104" spans="1:76" ht="16.5">
      <c r="A104" s="5"/>
      <c r="B104" s="15"/>
      <c r="D104" s="2"/>
      <c r="E104" s="33"/>
      <c r="F104" s="33"/>
      <c r="G104" s="33"/>
      <c r="H104" s="33"/>
      <c r="I104" s="33"/>
      <c r="J104" s="102" t="s">
        <v>155</v>
      </c>
      <c r="K104" s="18">
        <f aca="true" t="shared" si="111" ref="K104:R104">SUM(K40:K102)</f>
        <v>352.7202577082036</v>
      </c>
      <c r="L104" s="18">
        <f t="shared" si="111"/>
        <v>18288.598572731476</v>
      </c>
      <c r="M104" s="18">
        <f t="shared" si="111"/>
        <v>259.95675609779994</v>
      </c>
      <c r="N104" s="18">
        <f t="shared" si="111"/>
        <v>17853.87261714662</v>
      </c>
      <c r="O104" s="18">
        <f t="shared" si="111"/>
        <v>105728.48370909841</v>
      </c>
      <c r="P104" s="18">
        <f t="shared" si="111"/>
        <v>9029.455015020667</v>
      </c>
      <c r="Q104" s="18">
        <f t="shared" si="111"/>
        <v>151513.08692780318</v>
      </c>
      <c r="R104" s="4">
        <f t="shared" si="111"/>
        <v>1.194573421845487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 t="s">
        <v>145</v>
      </c>
      <c r="AC104" s="38">
        <f>SUM(AD40:AD102)/59</f>
        <v>246.43682672652224</v>
      </c>
      <c r="AD104" s="38">
        <f>SUM(AE40:AE102)/59</f>
        <v>179.18569778098998</v>
      </c>
      <c r="AE104" s="38">
        <f>SUM(AF40:AF102)/59</f>
        <v>132.03454192254125</v>
      </c>
      <c r="AF104" s="38">
        <f>SUM(AG40:AG102)/59</f>
        <v>105.59234303507422</v>
      </c>
      <c r="AG104" s="38">
        <f>SUM(AH40:AH102)/59</f>
        <v>101.95864265526764</v>
      </c>
      <c r="AH104" s="28"/>
      <c r="BX104"/>
    </row>
    <row r="105" spans="1:34" ht="16.5">
      <c r="A105" s="5"/>
      <c r="B105" s="15"/>
      <c r="D105" s="2"/>
      <c r="E105" s="33"/>
      <c r="F105" s="33"/>
      <c r="G105" s="33"/>
      <c r="H105" s="33"/>
      <c r="I105" s="33"/>
      <c r="J105" s="10" t="s">
        <v>156</v>
      </c>
      <c r="K105" s="29">
        <f aca="true" t="shared" si="112" ref="K105:Q105">K104/$Q$104</f>
        <v>0.0023279854226471984</v>
      </c>
      <c r="L105" s="29">
        <f t="shared" si="112"/>
        <v>0.12070639535874611</v>
      </c>
      <c r="M105" s="29">
        <f t="shared" si="112"/>
        <v>0.00171573796936545</v>
      </c>
      <c r="N105" s="29">
        <f t="shared" si="112"/>
        <v>0.11783716495495922</v>
      </c>
      <c r="O105" s="29">
        <f t="shared" si="112"/>
        <v>0.6978175011342658</v>
      </c>
      <c r="P105" s="29">
        <f t="shared" si="112"/>
        <v>0.059595215160016195</v>
      </c>
      <c r="Q105" s="11">
        <f t="shared" si="112"/>
        <v>1</v>
      </c>
      <c r="R105" s="1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28"/>
      <c r="AE105" s="28"/>
      <c r="AF105" s="28"/>
      <c r="AG105" s="28"/>
      <c r="AH105" s="28"/>
    </row>
    <row r="106" spans="2:29" ht="5.25" customHeight="1">
      <c r="B106" s="15"/>
      <c r="E106" s="34"/>
      <c r="F106" s="34"/>
      <c r="G106" s="34"/>
      <c r="H106" s="34"/>
      <c r="I106" s="34"/>
      <c r="J106" s="33"/>
      <c r="L106" s="33"/>
      <c r="M106" s="33"/>
      <c r="N106" s="33"/>
      <c r="O106" s="33"/>
      <c r="P106" s="33"/>
      <c r="Q106" s="33"/>
      <c r="R106" s="18"/>
      <c r="AC106" s="30"/>
    </row>
    <row r="107" spans="2:29" ht="16.5">
      <c r="B107" s="15"/>
      <c r="E107" s="34"/>
      <c r="F107" s="34"/>
      <c r="G107" s="34"/>
      <c r="H107" s="34"/>
      <c r="I107" s="34"/>
      <c r="J107" s="34"/>
      <c r="L107" s="33"/>
      <c r="M107" s="33"/>
      <c r="N107" s="33"/>
      <c r="O107" s="33" t="s">
        <v>57</v>
      </c>
      <c r="P107" s="33"/>
      <c r="Q107" s="18">
        <f>MAX(Q40:Q102)</f>
        <v>3412.619577233956</v>
      </c>
      <c r="R107" s="18"/>
      <c r="AC107" s="30"/>
    </row>
    <row r="108" spans="2:29" ht="6" customHeight="1">
      <c r="B108" s="15"/>
      <c r="E108" s="34"/>
      <c r="F108" s="34"/>
      <c r="G108" s="34"/>
      <c r="H108" s="34"/>
      <c r="I108" s="34"/>
      <c r="J108" s="33"/>
      <c r="L108" s="33"/>
      <c r="M108" s="33"/>
      <c r="N108" s="33"/>
      <c r="O108" s="33"/>
      <c r="P108" s="33"/>
      <c r="R108"/>
      <c r="AC108" s="30"/>
    </row>
    <row r="109" spans="2:75" ht="16.5">
      <c r="B109" s="15"/>
      <c r="E109" s="34"/>
      <c r="F109" s="34"/>
      <c r="G109" s="34"/>
      <c r="H109" s="34"/>
      <c r="I109" s="34"/>
      <c r="J109" s="102" t="s">
        <v>158</v>
      </c>
      <c r="K109" s="4">
        <f aca="true" t="shared" si="113" ref="K109:P109">(SUM(K40:K55)+K56*($A56-$A55)+K58*($A59-$A58)+SUM(K59:K76)+K77*($A77-$A76)+K79*($A80-$A79)+SUM(K80:K92)+K93*($A93-$A92)+K95*($A96-$A95)+SUM(K96:K101)+K102*($A102-$A101))*$J$29</f>
        <v>0.0027604719518508586</v>
      </c>
      <c r="L109" s="4">
        <f t="shared" si="113"/>
        <v>0.1431647917060356</v>
      </c>
      <c r="M109" s="4">
        <f t="shared" si="113"/>
        <v>0.0020869024869107134</v>
      </c>
      <c r="N109" s="4">
        <f t="shared" si="113"/>
        <v>0.14192313038642362</v>
      </c>
      <c r="O109" s="4">
        <f t="shared" si="113"/>
        <v>0.8328810553327325</v>
      </c>
      <c r="P109" s="4">
        <f t="shared" si="113"/>
        <v>0.07175706998153347</v>
      </c>
      <c r="Q109" s="4">
        <f>SUM(K109:P109)</f>
        <v>1.1945734218454869</v>
      </c>
      <c r="R109"/>
      <c r="AC109" s="30"/>
      <c r="BW109" s="2"/>
    </row>
    <row r="110" spans="2:75" ht="16.5">
      <c r="B110" s="15"/>
      <c r="E110" s="34"/>
      <c r="F110" s="34"/>
      <c r="G110" s="34"/>
      <c r="H110" s="34"/>
      <c r="I110" s="34"/>
      <c r="J110" s="33"/>
      <c r="L110" s="33"/>
      <c r="M110" s="33"/>
      <c r="N110" s="33"/>
      <c r="O110" s="33"/>
      <c r="P110" s="33"/>
      <c r="R110"/>
      <c r="AC110" s="30"/>
      <c r="BW110" s="2"/>
    </row>
    <row r="111" spans="2:75" ht="16.5">
      <c r="B111" s="15"/>
      <c r="E111" s="34"/>
      <c r="F111" s="34"/>
      <c r="G111" s="34"/>
      <c r="H111" s="34"/>
      <c r="I111" s="34"/>
      <c r="J111" s="33"/>
      <c r="L111" s="33"/>
      <c r="M111" s="33"/>
      <c r="N111" s="33"/>
      <c r="O111" s="33"/>
      <c r="P111" s="2"/>
      <c r="Q111" s="40"/>
      <c r="BW111" s="2"/>
    </row>
    <row r="112" spans="2:75" ht="16.5">
      <c r="B112" s="4"/>
      <c r="E112" s="34"/>
      <c r="F112" s="34"/>
      <c r="G112" s="34"/>
      <c r="H112" s="34"/>
      <c r="I112" s="34"/>
      <c r="J112" s="33"/>
      <c r="L112" s="33"/>
      <c r="M112" s="33"/>
      <c r="N112" s="33"/>
      <c r="O112" s="33"/>
      <c r="P112" s="2"/>
      <c r="Q112" s="40"/>
      <c r="BW112" s="2"/>
    </row>
    <row r="113" spans="2:75" ht="16.5">
      <c r="B113" s="4"/>
      <c r="E113" s="34"/>
      <c r="F113" s="34"/>
      <c r="G113" s="34"/>
      <c r="H113" s="34"/>
      <c r="I113" s="34"/>
      <c r="J113" s="33"/>
      <c r="L113" s="33"/>
      <c r="M113" s="33"/>
      <c r="N113" s="33"/>
      <c r="O113" s="33"/>
      <c r="P113" s="2"/>
      <c r="Q113" s="40"/>
      <c r="BW113" s="2"/>
    </row>
    <row r="114" spans="2:17" ht="16.5">
      <c r="B114" s="4"/>
      <c r="E114" s="34"/>
      <c r="F114" s="34"/>
      <c r="G114" s="34"/>
      <c r="H114" s="34"/>
      <c r="I114" s="34"/>
      <c r="J114" s="33"/>
      <c r="L114" s="33"/>
      <c r="M114" s="33"/>
      <c r="N114" s="33"/>
      <c r="O114" s="33"/>
      <c r="P114" s="2"/>
      <c r="Q114" s="40"/>
    </row>
    <row r="115" spans="2:17" ht="16.5">
      <c r="B115" s="4"/>
      <c r="E115" s="34"/>
      <c r="F115" s="34"/>
      <c r="G115" s="34"/>
      <c r="H115" s="34"/>
      <c r="I115" s="34"/>
      <c r="J115" s="33"/>
      <c r="L115" s="33"/>
      <c r="M115" s="33"/>
      <c r="N115" s="33"/>
      <c r="O115" s="33"/>
      <c r="P115" s="2"/>
      <c r="Q115" s="40"/>
    </row>
    <row r="116" spans="2:17" ht="16.5">
      <c r="B116" s="4"/>
      <c r="E116" s="34"/>
      <c r="F116" s="34"/>
      <c r="G116" s="34"/>
      <c r="H116" s="34"/>
      <c r="I116" s="34"/>
      <c r="J116" s="33"/>
      <c r="L116" s="33"/>
      <c r="M116" s="33"/>
      <c r="N116" s="33"/>
      <c r="O116" s="33"/>
      <c r="P116" s="2"/>
      <c r="Q116" s="40"/>
    </row>
    <row r="117" spans="2:15" ht="16.5">
      <c r="B117" s="4"/>
      <c r="E117" s="34"/>
      <c r="F117" s="34"/>
      <c r="G117" s="34"/>
      <c r="H117" s="34"/>
      <c r="I117" s="34"/>
      <c r="J117" s="33"/>
      <c r="L117" s="33"/>
      <c r="M117" s="33"/>
      <c r="N117" s="33"/>
      <c r="O117" s="33"/>
    </row>
    <row r="118" spans="2:15" ht="16.5">
      <c r="B118" s="4"/>
      <c r="E118" s="34"/>
      <c r="F118" s="34"/>
      <c r="G118" s="34"/>
      <c r="H118" s="34"/>
      <c r="I118" s="34"/>
      <c r="J118" s="33"/>
      <c r="L118" s="33"/>
      <c r="M118" s="33"/>
      <c r="N118" s="33"/>
      <c r="O118" s="33"/>
    </row>
    <row r="119" spans="2:15" ht="16.5">
      <c r="B119" s="4"/>
      <c r="E119" s="34"/>
      <c r="F119" s="34"/>
      <c r="G119" s="34"/>
      <c r="H119" s="34"/>
      <c r="I119" s="34"/>
      <c r="J119" s="33"/>
      <c r="L119" s="33"/>
      <c r="M119" s="33"/>
      <c r="N119" s="33"/>
      <c r="O119" s="33"/>
    </row>
    <row r="120" spans="2:15" ht="16.5">
      <c r="B120" s="4"/>
      <c r="E120" s="34"/>
      <c r="F120" s="34"/>
      <c r="G120" s="34"/>
      <c r="H120" s="34"/>
      <c r="I120" s="34"/>
      <c r="J120" s="33"/>
      <c r="L120" s="33"/>
      <c r="M120" s="33"/>
      <c r="N120" s="33"/>
      <c r="O120" s="33"/>
    </row>
    <row r="121" spans="2:15" ht="16.5">
      <c r="B121" s="4"/>
      <c r="E121" s="34"/>
      <c r="F121" s="34"/>
      <c r="G121" s="34"/>
      <c r="H121" s="34"/>
      <c r="I121" s="34"/>
      <c r="J121" s="33"/>
      <c r="L121" s="33"/>
      <c r="M121" s="33"/>
      <c r="N121" s="33"/>
      <c r="O121" s="33"/>
    </row>
    <row r="122" spans="2:15" ht="16.5">
      <c r="B122" s="4"/>
      <c r="E122" s="34"/>
      <c r="F122" s="34"/>
      <c r="G122" s="34"/>
      <c r="H122" s="34"/>
      <c r="I122" s="34"/>
      <c r="J122" s="33"/>
      <c r="L122" s="33"/>
      <c r="M122" s="33"/>
      <c r="N122" s="33"/>
      <c r="O122" s="33"/>
    </row>
    <row r="123" spans="2:15" ht="16.5">
      <c r="B123" s="4"/>
      <c r="E123" s="34"/>
      <c r="F123" s="34"/>
      <c r="G123" s="34"/>
      <c r="H123" s="34"/>
      <c r="I123" s="34"/>
      <c r="J123" s="33"/>
      <c r="L123" s="33"/>
      <c r="M123" s="33"/>
      <c r="N123" s="33"/>
      <c r="O123" s="33"/>
    </row>
    <row r="124" spans="2:15" ht="16.5">
      <c r="B124" s="4"/>
      <c r="E124" s="33"/>
      <c r="F124" s="34"/>
      <c r="G124" s="33"/>
      <c r="H124" s="33"/>
      <c r="I124" s="33"/>
      <c r="J124" s="33"/>
      <c r="L124" s="33"/>
      <c r="M124" s="33"/>
      <c r="N124" s="33"/>
      <c r="O124" s="33"/>
    </row>
    <row r="125" spans="2:15" ht="16.5">
      <c r="B125" s="4"/>
      <c r="E125" s="33"/>
      <c r="F125" s="34"/>
      <c r="G125" s="33"/>
      <c r="H125" s="33"/>
      <c r="I125" s="33"/>
      <c r="J125" s="33"/>
      <c r="L125" s="33"/>
      <c r="M125" s="33"/>
      <c r="N125" s="33"/>
      <c r="O125" s="33"/>
    </row>
    <row r="126" spans="2:15" ht="16.5">
      <c r="B126" s="4"/>
      <c r="E126" s="33"/>
      <c r="F126" s="34"/>
      <c r="G126" s="33"/>
      <c r="H126" s="33"/>
      <c r="I126" s="33"/>
      <c r="J126" s="33"/>
      <c r="L126" s="33"/>
      <c r="M126" s="33"/>
      <c r="N126" s="33"/>
      <c r="O126" s="33"/>
    </row>
    <row r="127" spans="2:15" ht="16.5">
      <c r="B127" s="4"/>
      <c r="E127" s="33"/>
      <c r="F127" s="34"/>
      <c r="G127" s="33"/>
      <c r="H127" s="33"/>
      <c r="I127" s="33"/>
      <c r="J127" s="33"/>
      <c r="L127" s="33"/>
      <c r="M127" s="33"/>
      <c r="N127" s="33"/>
      <c r="O127" s="33"/>
    </row>
    <row r="128" spans="2:15" ht="16.5">
      <c r="B128" s="4"/>
      <c r="E128" s="33"/>
      <c r="F128" s="34"/>
      <c r="G128" s="33"/>
      <c r="H128" s="33"/>
      <c r="I128" s="33"/>
      <c r="J128" s="33"/>
      <c r="L128" s="33"/>
      <c r="M128" s="33"/>
      <c r="N128" s="33"/>
      <c r="O128" s="33"/>
    </row>
    <row r="129" spans="2:15" ht="16.5">
      <c r="B129" s="4"/>
      <c r="E129" s="33"/>
      <c r="F129" s="34"/>
      <c r="G129" s="33"/>
      <c r="H129" s="33"/>
      <c r="I129" s="33"/>
      <c r="J129" s="33"/>
      <c r="L129" s="33"/>
      <c r="M129" s="33"/>
      <c r="N129" s="33"/>
      <c r="O129" s="33"/>
    </row>
    <row r="130" spans="2:15" ht="16.5">
      <c r="B130" s="4"/>
      <c r="E130" s="33"/>
      <c r="F130" s="34"/>
      <c r="G130" s="33"/>
      <c r="H130" s="33"/>
      <c r="I130" s="33"/>
      <c r="J130" s="33"/>
      <c r="L130" s="33"/>
      <c r="M130" s="33"/>
      <c r="N130" s="33"/>
      <c r="O130" s="33"/>
    </row>
    <row r="131" spans="2:15" ht="16.5">
      <c r="B131" s="4"/>
      <c r="E131" s="33"/>
      <c r="F131" s="34"/>
      <c r="G131" s="33"/>
      <c r="H131" s="33"/>
      <c r="I131" s="33"/>
      <c r="J131" s="33"/>
      <c r="L131" s="33"/>
      <c r="M131" s="33"/>
      <c r="N131" s="33"/>
      <c r="O131" s="33"/>
    </row>
    <row r="132" spans="2:15" ht="16.5">
      <c r="B132" s="4"/>
      <c r="E132" s="33"/>
      <c r="F132" s="34"/>
      <c r="G132" s="33"/>
      <c r="H132" s="33"/>
      <c r="I132" s="33"/>
      <c r="J132" s="33"/>
      <c r="L132" s="33"/>
      <c r="M132" s="33"/>
      <c r="N132" s="33"/>
      <c r="O132" s="33"/>
    </row>
    <row r="133" spans="2:15" ht="16.5">
      <c r="B133" s="4"/>
      <c r="E133" s="33"/>
      <c r="F133" s="34"/>
      <c r="G133" s="33"/>
      <c r="H133" s="33"/>
      <c r="I133" s="33"/>
      <c r="J133" s="33"/>
      <c r="L133" s="33"/>
      <c r="M133" s="33"/>
      <c r="N133" s="33"/>
      <c r="O133" s="33"/>
    </row>
    <row r="134" spans="2:15" ht="16.5">
      <c r="B134" s="4"/>
      <c r="E134" s="33"/>
      <c r="F134" s="34"/>
      <c r="G134" s="33"/>
      <c r="H134" s="33"/>
      <c r="I134" s="33"/>
      <c r="J134" s="33"/>
      <c r="L134" s="33"/>
      <c r="M134" s="33"/>
      <c r="N134" s="33"/>
      <c r="O134" s="33"/>
    </row>
    <row r="135" spans="2:15" ht="16.5">
      <c r="B135" s="4"/>
      <c r="E135" s="33"/>
      <c r="F135" s="34"/>
      <c r="G135" s="33"/>
      <c r="H135" s="33"/>
      <c r="I135" s="33"/>
      <c r="J135" s="33"/>
      <c r="L135" s="33"/>
      <c r="M135" s="33"/>
      <c r="N135" s="33"/>
      <c r="O135" s="33"/>
    </row>
    <row r="136" spans="2:15" ht="16.5">
      <c r="B136" s="4"/>
      <c r="E136" s="33"/>
      <c r="F136" s="34"/>
      <c r="G136" s="33"/>
      <c r="H136" s="33"/>
      <c r="I136" s="33"/>
      <c r="J136" s="33"/>
      <c r="L136" s="33"/>
      <c r="M136" s="33"/>
      <c r="N136" s="33"/>
      <c r="O136" s="33"/>
    </row>
    <row r="137" spans="2:15" ht="16.5">
      <c r="B137" s="4"/>
      <c r="E137" s="33"/>
      <c r="F137" s="34"/>
      <c r="G137" s="33"/>
      <c r="H137" s="33"/>
      <c r="I137" s="33"/>
      <c r="J137" s="33"/>
      <c r="L137" s="33"/>
      <c r="M137" s="33"/>
      <c r="N137" s="33"/>
      <c r="O137" s="33"/>
    </row>
    <row r="138" spans="2:15" ht="16.5">
      <c r="B138" s="4"/>
      <c r="E138" s="33"/>
      <c r="F138" s="34"/>
      <c r="G138" s="33"/>
      <c r="H138" s="33"/>
      <c r="I138" s="33"/>
      <c r="J138" s="33"/>
      <c r="L138" s="33"/>
      <c r="M138" s="33"/>
      <c r="N138" s="33"/>
      <c r="O138" s="33"/>
    </row>
    <row r="139" spans="2:15" ht="16.5">
      <c r="B139" s="4"/>
      <c r="E139" s="33"/>
      <c r="F139" s="34"/>
      <c r="G139" s="33"/>
      <c r="H139" s="33"/>
      <c r="I139" s="33"/>
      <c r="J139" s="33"/>
      <c r="L139" s="33"/>
      <c r="M139" s="33"/>
      <c r="N139" s="33"/>
      <c r="O139" s="33"/>
    </row>
    <row r="140" spans="2:15" ht="16.5">
      <c r="B140" s="4"/>
      <c r="E140" s="33"/>
      <c r="F140" s="34"/>
      <c r="G140" s="33"/>
      <c r="H140" s="33"/>
      <c r="I140" s="33"/>
      <c r="J140" s="33"/>
      <c r="L140" s="33"/>
      <c r="M140" s="33"/>
      <c r="N140" s="33"/>
      <c r="O140" s="33"/>
    </row>
    <row r="141" spans="2:15" ht="16.5">
      <c r="B141" s="4"/>
      <c r="E141" s="33"/>
      <c r="F141" s="34"/>
      <c r="G141" s="33"/>
      <c r="H141" s="33"/>
      <c r="I141" s="33"/>
      <c r="J141" s="33"/>
      <c r="L141" s="33"/>
      <c r="M141" s="33"/>
      <c r="N141" s="33"/>
      <c r="O141" s="33"/>
    </row>
    <row r="142" spans="2:15" ht="16.5">
      <c r="B142" s="4"/>
      <c r="E142" s="33"/>
      <c r="F142" s="34"/>
      <c r="G142" s="33"/>
      <c r="H142" s="33"/>
      <c r="I142" s="33"/>
      <c r="J142" s="33"/>
      <c r="L142" s="33"/>
      <c r="M142" s="33"/>
      <c r="N142" s="33"/>
      <c r="O142" s="33"/>
    </row>
    <row r="143" spans="2:15" ht="16.5">
      <c r="B143" s="4"/>
      <c r="E143" s="33"/>
      <c r="F143" s="34"/>
      <c r="G143" s="33"/>
      <c r="H143" s="33"/>
      <c r="I143" s="33"/>
      <c r="J143" s="33"/>
      <c r="L143" s="33"/>
      <c r="M143" s="33"/>
      <c r="N143" s="33"/>
      <c r="O143" s="33"/>
    </row>
    <row r="144" spans="2:15" ht="16.5">
      <c r="B144" s="4"/>
      <c r="E144" s="33"/>
      <c r="F144" s="34"/>
      <c r="G144" s="33"/>
      <c r="H144" s="33"/>
      <c r="I144" s="33"/>
      <c r="J144" s="33"/>
      <c r="L144" s="33"/>
      <c r="M144" s="33"/>
      <c r="N144" s="33"/>
      <c r="O144" s="33"/>
    </row>
    <row r="145" spans="2:15" ht="16.5">
      <c r="B145" s="4"/>
      <c r="E145" s="33"/>
      <c r="F145" s="34"/>
      <c r="G145" s="33"/>
      <c r="H145" s="33"/>
      <c r="I145" s="33"/>
      <c r="J145" s="33"/>
      <c r="L145" s="33"/>
      <c r="M145" s="33"/>
      <c r="N145" s="33"/>
      <c r="O145" s="33"/>
    </row>
    <row r="146" spans="2:15" ht="16.5">
      <c r="B146" s="4"/>
      <c r="E146" s="33"/>
      <c r="F146" s="34"/>
      <c r="G146" s="33"/>
      <c r="H146" s="33"/>
      <c r="I146" s="33"/>
      <c r="J146" s="33"/>
      <c r="L146" s="33"/>
      <c r="M146" s="33"/>
      <c r="N146" s="33"/>
      <c r="O146" s="33"/>
    </row>
    <row r="147" spans="2:15" ht="16.5">
      <c r="B147" s="4"/>
      <c r="E147" s="33"/>
      <c r="F147" s="34"/>
      <c r="G147" s="33"/>
      <c r="H147" s="33"/>
      <c r="I147" s="33"/>
      <c r="J147" s="33"/>
      <c r="L147" s="33"/>
      <c r="M147" s="33"/>
      <c r="N147" s="33"/>
      <c r="O147" s="33"/>
    </row>
    <row r="148" spans="2:15" ht="16.5">
      <c r="B148" s="4"/>
      <c r="E148" s="33"/>
      <c r="F148" s="34"/>
      <c r="G148" s="33"/>
      <c r="H148" s="33"/>
      <c r="I148" s="33"/>
      <c r="J148" s="33"/>
      <c r="L148" s="33"/>
      <c r="M148" s="33"/>
      <c r="N148" s="33"/>
      <c r="O148" s="33"/>
    </row>
    <row r="149" spans="2:15" ht="16.5">
      <c r="B149" s="4"/>
      <c r="E149" s="33"/>
      <c r="F149" s="34"/>
      <c r="G149" s="33"/>
      <c r="H149" s="33"/>
      <c r="I149" s="33"/>
      <c r="J149" s="33"/>
      <c r="L149" s="33"/>
      <c r="M149" s="33"/>
      <c r="N149" s="33"/>
      <c r="O149" s="33"/>
    </row>
    <row r="150" spans="2:15" ht="16.5">
      <c r="B150" s="4"/>
      <c r="E150" s="33"/>
      <c r="F150" s="34"/>
      <c r="G150" s="33"/>
      <c r="H150" s="33"/>
      <c r="I150" s="33"/>
      <c r="J150" s="33"/>
      <c r="L150" s="33"/>
      <c r="M150" s="33"/>
      <c r="N150" s="33"/>
      <c r="O150" s="33"/>
    </row>
    <row r="151" spans="2:15" ht="16.5">
      <c r="B151" s="4"/>
      <c r="E151" s="33"/>
      <c r="F151" s="34"/>
      <c r="G151" s="33"/>
      <c r="H151" s="33"/>
      <c r="I151" s="33"/>
      <c r="J151" s="33"/>
      <c r="L151" s="33"/>
      <c r="M151" s="33"/>
      <c r="N151" s="33"/>
      <c r="O151" s="33"/>
    </row>
    <row r="152" spans="2:15" ht="16.5">
      <c r="B152" s="4"/>
      <c r="E152" s="33"/>
      <c r="F152" s="34"/>
      <c r="G152" s="33"/>
      <c r="H152" s="33"/>
      <c r="I152" s="33"/>
      <c r="J152" s="33"/>
      <c r="L152" s="33"/>
      <c r="M152" s="33"/>
      <c r="N152" s="33"/>
      <c r="O152" s="33"/>
    </row>
    <row r="153" spans="2:15" ht="16.5">
      <c r="B153" s="4"/>
      <c r="E153" s="33"/>
      <c r="F153" s="34"/>
      <c r="G153" s="33"/>
      <c r="H153" s="33"/>
      <c r="I153" s="33"/>
      <c r="J153" s="33"/>
      <c r="L153" s="33"/>
      <c r="M153" s="33"/>
      <c r="N153" s="33"/>
      <c r="O153" s="33"/>
    </row>
    <row r="154" spans="2:15" ht="16.5">
      <c r="B154" s="4"/>
      <c r="E154" s="33"/>
      <c r="F154" s="34"/>
      <c r="G154" s="33"/>
      <c r="H154" s="33"/>
      <c r="I154" s="33"/>
      <c r="J154" s="33"/>
      <c r="L154" s="33"/>
      <c r="M154" s="33"/>
      <c r="N154" s="33"/>
      <c r="O154" s="33"/>
    </row>
    <row r="155" spans="2:15" ht="16.5">
      <c r="B155" s="4"/>
      <c r="E155" s="33"/>
      <c r="F155" s="34"/>
      <c r="G155" s="33"/>
      <c r="H155" s="33"/>
      <c r="I155" s="33"/>
      <c r="J155" s="33"/>
      <c r="L155" s="33"/>
      <c r="M155" s="33"/>
      <c r="N155" s="33"/>
      <c r="O155" s="33"/>
    </row>
    <row r="156" spans="2:15" ht="16.5">
      <c r="B156" s="4"/>
      <c r="E156" s="33"/>
      <c r="F156" s="34"/>
      <c r="G156" s="33"/>
      <c r="H156" s="33"/>
      <c r="I156" s="33"/>
      <c r="J156" s="33"/>
      <c r="L156" s="33"/>
      <c r="M156" s="33"/>
      <c r="N156" s="33"/>
      <c r="O156" s="33"/>
    </row>
    <row r="157" spans="2:15" ht="16.5">
      <c r="B157" s="4"/>
      <c r="E157" s="33"/>
      <c r="F157" s="34"/>
      <c r="G157" s="33"/>
      <c r="H157" s="33"/>
      <c r="I157" s="33"/>
      <c r="J157" s="33"/>
      <c r="L157" s="33"/>
      <c r="M157" s="33"/>
      <c r="N157" s="33"/>
      <c r="O157" s="33"/>
    </row>
    <row r="158" spans="2:15" ht="16.5">
      <c r="B158" s="4"/>
      <c r="E158" s="33"/>
      <c r="F158" s="34"/>
      <c r="G158" s="33"/>
      <c r="H158" s="33"/>
      <c r="I158" s="33"/>
      <c r="J158" s="33"/>
      <c r="L158" s="33"/>
      <c r="M158" s="33"/>
      <c r="N158" s="33"/>
      <c r="O158" s="33"/>
    </row>
    <row r="159" spans="2:15" ht="16.5">
      <c r="B159" s="4"/>
      <c r="E159" s="33"/>
      <c r="F159" s="34"/>
      <c r="G159" s="33"/>
      <c r="H159" s="33"/>
      <c r="I159" s="33"/>
      <c r="J159" s="33"/>
      <c r="L159" s="33"/>
      <c r="M159" s="33"/>
      <c r="N159" s="33"/>
      <c r="O159" s="33"/>
    </row>
    <row r="160" spans="2:15" ht="16.5">
      <c r="B160" s="4"/>
      <c r="E160" s="33"/>
      <c r="F160" s="34"/>
      <c r="G160" s="33"/>
      <c r="H160" s="33"/>
      <c r="I160" s="33"/>
      <c r="J160" s="33"/>
      <c r="L160" s="33"/>
      <c r="M160" s="33"/>
      <c r="N160" s="33"/>
      <c r="O160" s="33"/>
    </row>
    <row r="161" spans="2:15" ht="16.5">
      <c r="B161" s="4"/>
      <c r="E161" s="33"/>
      <c r="F161" s="34"/>
      <c r="G161" s="33"/>
      <c r="H161" s="33"/>
      <c r="I161" s="33"/>
      <c r="J161" s="33"/>
      <c r="L161" s="33"/>
      <c r="M161" s="33"/>
      <c r="N161" s="33"/>
      <c r="O161" s="33"/>
    </row>
    <row r="162" spans="2:15" ht="16.5">
      <c r="B162" s="4"/>
      <c r="E162" s="33"/>
      <c r="F162" s="34"/>
      <c r="G162" s="33"/>
      <c r="H162" s="33"/>
      <c r="I162" s="33"/>
      <c r="J162" s="33"/>
      <c r="L162" s="33"/>
      <c r="M162" s="33"/>
      <c r="N162" s="33"/>
      <c r="O162" s="33"/>
    </row>
    <row r="163" spans="5:15" ht="16.5">
      <c r="E163" s="33"/>
      <c r="F163" s="34"/>
      <c r="G163" s="33"/>
      <c r="H163" s="33"/>
      <c r="I163" s="33"/>
      <c r="J163" s="33"/>
      <c r="L163" s="33"/>
      <c r="M163" s="33"/>
      <c r="N163" s="33"/>
      <c r="O163" s="33"/>
    </row>
    <row r="164" spans="5:15" ht="16.5">
      <c r="E164" s="33"/>
      <c r="F164" s="34"/>
      <c r="G164" s="33"/>
      <c r="H164" s="33"/>
      <c r="I164" s="33"/>
      <c r="J164" s="33"/>
      <c r="L164" s="33"/>
      <c r="M164" s="33"/>
      <c r="N164" s="33"/>
      <c r="O164" s="33"/>
    </row>
    <row r="165" spans="5:15" ht="16.5">
      <c r="E165" s="33"/>
      <c r="F165" s="34"/>
      <c r="G165" s="33"/>
      <c r="H165" s="33"/>
      <c r="I165" s="33"/>
      <c r="J165" s="33"/>
      <c r="L165" s="33"/>
      <c r="M165" s="33"/>
      <c r="N165" s="33"/>
      <c r="O165" s="33"/>
    </row>
    <row r="166" spans="5:15" ht="16.5">
      <c r="E166" s="33"/>
      <c r="F166" s="34"/>
      <c r="G166" s="33"/>
      <c r="H166" s="33"/>
      <c r="I166" s="33"/>
      <c r="J166" s="33"/>
      <c r="L166" s="33"/>
      <c r="M166" s="33"/>
      <c r="N166" s="33"/>
      <c r="O166" s="33"/>
    </row>
    <row r="167" spans="5:15" ht="16.5">
      <c r="E167" s="33"/>
      <c r="F167" s="34"/>
      <c r="G167" s="33"/>
      <c r="H167" s="33"/>
      <c r="I167" s="33"/>
      <c r="J167" s="33"/>
      <c r="L167" s="33"/>
      <c r="M167" s="33"/>
      <c r="N167" s="33"/>
      <c r="O167" s="33"/>
    </row>
    <row r="168" spans="5:15" ht="16.5">
      <c r="E168" s="33"/>
      <c r="F168" s="34"/>
      <c r="G168" s="33"/>
      <c r="H168" s="33"/>
      <c r="I168" s="33"/>
      <c r="J168" s="33"/>
      <c r="L168" s="33"/>
      <c r="M168" s="33"/>
      <c r="N168" s="33"/>
      <c r="O168" s="33"/>
    </row>
    <row r="169" spans="5:15" ht="16.5">
      <c r="E169" s="33"/>
      <c r="F169" s="34"/>
      <c r="G169" s="33"/>
      <c r="H169" s="33"/>
      <c r="I169" s="33"/>
      <c r="J169" s="33"/>
      <c r="L169" s="33"/>
      <c r="M169" s="33"/>
      <c r="N169" s="33"/>
      <c r="O169" s="33"/>
    </row>
    <row r="170" spans="5:15" ht="16.5">
      <c r="E170" s="33"/>
      <c r="F170" s="34"/>
      <c r="G170" s="33"/>
      <c r="H170" s="33"/>
      <c r="I170" s="33"/>
      <c r="J170" s="33"/>
      <c r="L170" s="33"/>
      <c r="M170" s="33"/>
      <c r="N170" s="33"/>
      <c r="O170" s="33"/>
    </row>
    <row r="171" spans="5:15" ht="16.5">
      <c r="E171" s="33"/>
      <c r="F171" s="34"/>
      <c r="G171" s="33"/>
      <c r="H171" s="33"/>
      <c r="I171" s="33"/>
      <c r="J171" s="33"/>
      <c r="L171" s="33"/>
      <c r="M171" s="33"/>
      <c r="N171" s="33"/>
      <c r="O171" s="33"/>
    </row>
    <row r="172" spans="5:15" ht="16.5">
      <c r="E172" s="33"/>
      <c r="F172" s="34"/>
      <c r="G172" s="33"/>
      <c r="H172" s="33"/>
      <c r="I172" s="33"/>
      <c r="J172" s="33"/>
      <c r="L172" s="33"/>
      <c r="M172" s="33"/>
      <c r="N172" s="33"/>
      <c r="O172" s="33"/>
    </row>
    <row r="173" spans="5:15" ht="16.5">
      <c r="E173" s="33"/>
      <c r="F173" s="34"/>
      <c r="G173" s="33"/>
      <c r="H173" s="33"/>
      <c r="I173" s="33"/>
      <c r="J173" s="33"/>
      <c r="L173" s="33"/>
      <c r="M173" s="33"/>
      <c r="N173" s="33"/>
      <c r="O173" s="33"/>
    </row>
    <row r="174" spans="5:15" ht="16.5">
      <c r="E174" s="33"/>
      <c r="F174" s="34"/>
      <c r="G174" s="33"/>
      <c r="H174" s="33"/>
      <c r="I174" s="33"/>
      <c r="J174" s="33"/>
      <c r="L174" s="33"/>
      <c r="M174" s="33"/>
      <c r="N174" s="33"/>
      <c r="O174" s="33"/>
    </row>
    <row r="175" spans="5:15" ht="16.5">
      <c r="E175" s="33"/>
      <c r="F175" s="34"/>
      <c r="G175" s="33"/>
      <c r="H175" s="33"/>
      <c r="I175" s="33"/>
      <c r="J175" s="33"/>
      <c r="L175" s="33"/>
      <c r="M175" s="33"/>
      <c r="N175" s="33"/>
      <c r="O175" s="33"/>
    </row>
    <row r="176" spans="5:15" ht="16.5">
      <c r="E176" s="33"/>
      <c r="F176" s="34"/>
      <c r="G176" s="33"/>
      <c r="H176" s="33"/>
      <c r="I176" s="33"/>
      <c r="J176" s="33"/>
      <c r="L176" s="33"/>
      <c r="M176" s="33"/>
      <c r="N176" s="33"/>
      <c r="O176" s="33"/>
    </row>
    <row r="177" spans="5:15" ht="16.5">
      <c r="E177" s="33"/>
      <c r="F177" s="34"/>
      <c r="G177" s="33"/>
      <c r="H177" s="33"/>
      <c r="I177" s="33"/>
      <c r="J177" s="33"/>
      <c r="L177" s="33"/>
      <c r="M177" s="33"/>
      <c r="N177" s="33"/>
      <c r="O177" s="33"/>
    </row>
    <row r="178" spans="5:15" ht="16.5">
      <c r="E178" s="33"/>
      <c r="F178" s="34"/>
      <c r="G178" s="33"/>
      <c r="H178" s="33"/>
      <c r="I178" s="33"/>
      <c r="J178" s="33"/>
      <c r="L178" s="33"/>
      <c r="M178" s="33"/>
      <c r="N178" s="33"/>
      <c r="O178" s="33"/>
    </row>
    <row r="179" spans="5:15" ht="16.5">
      <c r="E179" s="33"/>
      <c r="F179" s="34"/>
      <c r="G179" s="33"/>
      <c r="H179" s="33"/>
      <c r="I179" s="33"/>
      <c r="J179" s="33"/>
      <c r="L179" s="33"/>
      <c r="M179" s="33"/>
      <c r="N179" s="33"/>
      <c r="O179" s="33"/>
    </row>
    <row r="180" spans="5:15" ht="16.5">
      <c r="E180" s="33"/>
      <c r="F180" s="34"/>
      <c r="G180" s="33"/>
      <c r="H180" s="33"/>
      <c r="I180" s="33"/>
      <c r="J180" s="33"/>
      <c r="L180" s="33"/>
      <c r="M180" s="33"/>
      <c r="N180" s="33"/>
      <c r="O180" s="33"/>
    </row>
    <row r="181" spans="5:15" ht="16.5">
      <c r="E181" s="33"/>
      <c r="F181" s="34"/>
      <c r="G181" s="33"/>
      <c r="H181" s="33"/>
      <c r="I181" s="33"/>
      <c r="J181" s="33"/>
      <c r="L181" s="33"/>
      <c r="M181" s="33"/>
      <c r="N181" s="33"/>
      <c r="O181" s="33"/>
    </row>
    <row r="182" spans="5:15" ht="16.5">
      <c r="E182" s="33"/>
      <c r="F182" s="34"/>
      <c r="G182" s="33"/>
      <c r="H182" s="33"/>
      <c r="I182" s="33"/>
      <c r="J182" s="33"/>
      <c r="L182" s="33"/>
      <c r="M182" s="33"/>
      <c r="N182" s="33"/>
      <c r="O182" s="33"/>
    </row>
    <row r="183" spans="5:15" ht="16.5">
      <c r="E183" s="33"/>
      <c r="F183" s="34"/>
      <c r="G183" s="33"/>
      <c r="H183" s="33"/>
      <c r="I183" s="33"/>
      <c r="J183" s="33"/>
      <c r="L183" s="33"/>
      <c r="M183" s="33"/>
      <c r="N183" s="33"/>
      <c r="O183" s="33"/>
    </row>
    <row r="184" spans="5:15" ht="16.5">
      <c r="E184" s="33"/>
      <c r="F184" s="34"/>
      <c r="G184" s="33"/>
      <c r="H184" s="33"/>
      <c r="I184" s="33"/>
      <c r="J184" s="33"/>
      <c r="L184" s="33"/>
      <c r="M184" s="33"/>
      <c r="N184" s="33"/>
      <c r="O184" s="33"/>
    </row>
    <row r="185" spans="5:15" ht="16.5">
      <c r="E185" s="33"/>
      <c r="F185" s="34"/>
      <c r="G185" s="33"/>
      <c r="H185" s="33"/>
      <c r="I185" s="33"/>
      <c r="J185" s="33"/>
      <c r="L185" s="33"/>
      <c r="M185" s="33"/>
      <c r="N185" s="33"/>
      <c r="O185" s="33"/>
    </row>
    <row r="186" spans="5:15" ht="16.5">
      <c r="E186" s="33"/>
      <c r="F186" s="34"/>
      <c r="G186" s="33"/>
      <c r="H186" s="33"/>
      <c r="I186" s="33"/>
      <c r="J186" s="33"/>
      <c r="L186" s="33"/>
      <c r="M186" s="33"/>
      <c r="N186" s="33"/>
      <c r="O186" s="33"/>
    </row>
    <row r="187" spans="5:15" ht="16.5">
      <c r="E187" s="33"/>
      <c r="F187" s="34"/>
      <c r="G187" s="33"/>
      <c r="H187" s="33"/>
      <c r="I187" s="33"/>
      <c r="J187" s="33"/>
      <c r="L187" s="33"/>
      <c r="M187" s="33"/>
      <c r="N187" s="33"/>
      <c r="O187" s="33"/>
    </row>
    <row r="188" spans="5:15" ht="16.5">
      <c r="E188" s="33"/>
      <c r="F188" s="34"/>
      <c r="G188" s="33"/>
      <c r="H188" s="33"/>
      <c r="I188" s="33"/>
      <c r="J188" s="33"/>
      <c r="L188" s="33"/>
      <c r="M188" s="33"/>
      <c r="N188" s="33"/>
      <c r="O188" s="33"/>
    </row>
    <row r="189" spans="5:15" ht="16.5">
      <c r="E189" s="33"/>
      <c r="F189" s="34"/>
      <c r="G189" s="33"/>
      <c r="H189" s="33"/>
      <c r="I189" s="33"/>
      <c r="J189" s="33"/>
      <c r="L189" s="33"/>
      <c r="M189" s="33"/>
      <c r="N189" s="33"/>
      <c r="O189" s="33"/>
    </row>
    <row r="190" spans="5:15" ht="16.5">
      <c r="E190" s="33"/>
      <c r="F190" s="34"/>
      <c r="G190" s="33"/>
      <c r="H190" s="33"/>
      <c r="I190" s="33"/>
      <c r="J190" s="33"/>
      <c r="L190" s="33"/>
      <c r="M190" s="33"/>
      <c r="N190" s="33"/>
      <c r="O190" s="33"/>
    </row>
    <row r="191" spans="5:15" ht="16.5">
      <c r="E191" s="33"/>
      <c r="F191" s="34"/>
      <c r="G191" s="33"/>
      <c r="H191" s="33"/>
      <c r="I191" s="33"/>
      <c r="J191" s="33"/>
      <c r="L191" s="33"/>
      <c r="M191" s="33"/>
      <c r="N191" s="33"/>
      <c r="O191" s="33"/>
    </row>
    <row r="192" spans="5:15" ht="16.5">
      <c r="E192" s="33"/>
      <c r="F192" s="34"/>
      <c r="G192" s="33"/>
      <c r="H192" s="33"/>
      <c r="I192" s="33"/>
      <c r="J192" s="33"/>
      <c r="L192" s="33"/>
      <c r="M192" s="33"/>
      <c r="N192" s="33"/>
      <c r="O192" s="33"/>
    </row>
    <row r="193" spans="5:15" ht="16.5">
      <c r="E193" s="33"/>
      <c r="F193" s="34"/>
      <c r="G193" s="33"/>
      <c r="H193" s="33"/>
      <c r="I193" s="33"/>
      <c r="J193" s="33"/>
      <c r="L193" s="33"/>
      <c r="M193" s="33"/>
      <c r="N193" s="33"/>
      <c r="O193" s="33"/>
    </row>
    <row r="194" spans="5:15" ht="16.5">
      <c r="E194" s="33"/>
      <c r="F194" s="34"/>
      <c r="G194" s="33"/>
      <c r="H194" s="33"/>
      <c r="I194" s="33"/>
      <c r="J194" s="33"/>
      <c r="L194" s="33"/>
      <c r="M194" s="33"/>
      <c r="N194" s="33"/>
      <c r="O194" s="33"/>
    </row>
    <row r="195" spans="5:15" ht="16.5">
      <c r="E195" s="33"/>
      <c r="F195" s="34"/>
      <c r="G195" s="33"/>
      <c r="H195" s="33"/>
      <c r="I195" s="33"/>
      <c r="J195" s="33"/>
      <c r="L195" s="33"/>
      <c r="M195" s="33"/>
      <c r="N195" s="33"/>
      <c r="O195" s="33"/>
    </row>
    <row r="196" spans="5:15" ht="16.5">
      <c r="E196" s="33"/>
      <c r="F196" s="34"/>
      <c r="G196" s="33"/>
      <c r="H196" s="33"/>
      <c r="I196" s="33"/>
      <c r="J196" s="33"/>
      <c r="L196" s="33"/>
      <c r="M196" s="33"/>
      <c r="N196" s="33"/>
      <c r="O196" s="33"/>
    </row>
    <row r="197" spans="5:15" ht="16.5">
      <c r="E197" s="33"/>
      <c r="F197" s="34"/>
      <c r="G197" s="33"/>
      <c r="H197" s="33"/>
      <c r="I197" s="33"/>
      <c r="J197" s="33"/>
      <c r="L197" s="33"/>
      <c r="M197" s="33"/>
      <c r="N197" s="33"/>
      <c r="O197" s="33"/>
    </row>
    <row r="198" spans="5:15" ht="16.5">
      <c r="E198" s="33"/>
      <c r="F198" s="34"/>
      <c r="G198" s="33"/>
      <c r="H198" s="33"/>
      <c r="I198" s="33"/>
      <c r="J198" s="33"/>
      <c r="L198" s="33"/>
      <c r="M198" s="33"/>
      <c r="N198" s="33"/>
      <c r="O198" s="33"/>
    </row>
    <row r="199" spans="5:15" ht="16.5">
      <c r="E199" s="33"/>
      <c r="F199" s="34"/>
      <c r="G199" s="33"/>
      <c r="H199" s="33"/>
      <c r="I199" s="33"/>
      <c r="J199" s="33"/>
      <c r="L199" s="33"/>
      <c r="M199" s="33"/>
      <c r="N199" s="33"/>
      <c r="O199" s="33"/>
    </row>
    <row r="200" spans="5:15" ht="16.5">
      <c r="E200" s="33"/>
      <c r="F200" s="34"/>
      <c r="G200" s="33"/>
      <c r="H200" s="33"/>
      <c r="I200" s="33"/>
      <c r="J200" s="33"/>
      <c r="L200" s="33"/>
      <c r="M200" s="33"/>
      <c r="N200" s="33"/>
      <c r="O200" s="33"/>
    </row>
    <row r="201" spans="5:15" ht="16.5">
      <c r="E201" s="33"/>
      <c r="F201" s="34"/>
      <c r="G201" s="33"/>
      <c r="H201" s="33"/>
      <c r="I201" s="33"/>
      <c r="J201" s="33"/>
      <c r="L201" s="33"/>
      <c r="M201" s="33"/>
      <c r="N201" s="33"/>
      <c r="O201" s="33"/>
    </row>
    <row r="202" spans="5:15" ht="16.5">
      <c r="E202" s="33"/>
      <c r="F202" s="34"/>
      <c r="G202" s="33"/>
      <c r="H202" s="33"/>
      <c r="I202" s="33"/>
      <c r="J202" s="33"/>
      <c r="L202" s="33"/>
      <c r="M202" s="33"/>
      <c r="N202" s="33"/>
      <c r="O202" s="33"/>
    </row>
    <row r="203" spans="5:15" ht="16.5">
      <c r="E203" s="33"/>
      <c r="F203" s="34"/>
      <c r="G203" s="33"/>
      <c r="H203" s="33"/>
      <c r="I203" s="33"/>
      <c r="J203" s="33"/>
      <c r="L203" s="33"/>
      <c r="M203" s="33"/>
      <c r="N203" s="33"/>
      <c r="O203" s="33"/>
    </row>
    <row r="204" spans="5:15" ht="16.5">
      <c r="E204" s="33"/>
      <c r="F204" s="34"/>
      <c r="G204" s="33"/>
      <c r="H204" s="33"/>
      <c r="I204" s="33"/>
      <c r="J204" s="33"/>
      <c r="L204" s="33"/>
      <c r="M204" s="33"/>
      <c r="N204" s="33"/>
      <c r="O204" s="33"/>
    </row>
    <row r="205" spans="5:15" ht="16.5">
      <c r="E205" s="33"/>
      <c r="F205" s="34"/>
      <c r="G205" s="33"/>
      <c r="H205" s="33"/>
      <c r="I205" s="33"/>
      <c r="J205" s="33"/>
      <c r="L205" s="33"/>
      <c r="M205" s="33"/>
      <c r="N205" s="33"/>
      <c r="O205" s="33"/>
    </row>
    <row r="206" spans="5:15" ht="16.5">
      <c r="E206" s="33"/>
      <c r="F206" s="34"/>
      <c r="G206" s="33"/>
      <c r="H206" s="33"/>
      <c r="I206" s="33"/>
      <c r="J206" s="33"/>
      <c r="L206" s="33"/>
      <c r="M206" s="33"/>
      <c r="N206" s="33"/>
      <c r="O206" s="33"/>
    </row>
    <row r="207" spans="5:15" ht="16.5">
      <c r="E207" s="33"/>
      <c r="F207" s="34"/>
      <c r="G207" s="33"/>
      <c r="H207" s="33"/>
      <c r="I207" s="33"/>
      <c r="J207" s="33"/>
      <c r="L207" s="33"/>
      <c r="M207" s="33"/>
      <c r="N207" s="33"/>
      <c r="O207" s="33"/>
    </row>
    <row r="208" spans="5:15" ht="16.5">
      <c r="E208" s="33"/>
      <c r="F208" s="34"/>
      <c r="G208" s="33"/>
      <c r="H208" s="33"/>
      <c r="I208" s="33"/>
      <c r="J208" s="33"/>
      <c r="L208" s="33"/>
      <c r="M208" s="33"/>
      <c r="N208" s="33"/>
      <c r="O208" s="33"/>
    </row>
    <row r="209" spans="5:15" ht="16.5">
      <c r="E209" s="33"/>
      <c r="F209" s="34"/>
      <c r="G209" s="33"/>
      <c r="H209" s="33"/>
      <c r="I209" s="33"/>
      <c r="J209" s="33"/>
      <c r="L209" s="33"/>
      <c r="M209" s="33"/>
      <c r="N209" s="33"/>
      <c r="O209" s="33"/>
    </row>
    <row r="210" spans="5:15" ht="16.5">
      <c r="E210" s="33"/>
      <c r="F210" s="34"/>
      <c r="G210" s="33"/>
      <c r="H210" s="33"/>
      <c r="I210" s="33"/>
      <c r="J210" s="33"/>
      <c r="L210" s="33"/>
      <c r="M210" s="33"/>
      <c r="N210" s="33"/>
      <c r="O210" s="33"/>
    </row>
    <row r="211" spans="5:15" ht="16.5">
      <c r="E211" s="33"/>
      <c r="F211" s="34"/>
      <c r="G211" s="33"/>
      <c r="H211" s="33"/>
      <c r="I211" s="33"/>
      <c r="J211" s="33"/>
      <c r="L211" s="33"/>
      <c r="M211" s="33"/>
      <c r="N211" s="33"/>
      <c r="O211" s="33"/>
    </row>
    <row r="212" spans="5:15" ht="16.5">
      <c r="E212" s="33"/>
      <c r="F212" s="34"/>
      <c r="G212" s="33"/>
      <c r="H212" s="33"/>
      <c r="I212" s="33"/>
      <c r="J212" s="33"/>
      <c r="L212" s="33"/>
      <c r="M212" s="33"/>
      <c r="N212" s="33"/>
      <c r="O212" s="33"/>
    </row>
    <row r="213" spans="5:15" ht="16.5">
      <c r="E213" s="33"/>
      <c r="F213" s="34"/>
      <c r="G213" s="33"/>
      <c r="H213" s="33"/>
      <c r="I213" s="33"/>
      <c r="J213" s="33"/>
      <c r="L213" s="33"/>
      <c r="M213" s="33"/>
      <c r="N213" s="33"/>
      <c r="O213" s="33"/>
    </row>
    <row r="214" spans="5:15" ht="16.5">
      <c r="E214" s="33"/>
      <c r="F214" s="34"/>
      <c r="G214" s="33"/>
      <c r="H214" s="33"/>
      <c r="I214" s="33"/>
      <c r="J214" s="33"/>
      <c r="L214" s="33"/>
      <c r="M214" s="33"/>
      <c r="N214" s="33"/>
      <c r="O214" s="33"/>
    </row>
    <row r="215" spans="5:15" ht="16.5">
      <c r="E215" s="33"/>
      <c r="F215" s="34"/>
      <c r="G215" s="33"/>
      <c r="H215" s="33"/>
      <c r="I215" s="33"/>
      <c r="J215" s="33"/>
      <c r="L215" s="33"/>
      <c r="M215" s="33"/>
      <c r="N215" s="33"/>
      <c r="O215" s="33"/>
    </row>
    <row r="216" spans="5:15" ht="16.5">
      <c r="E216" s="33"/>
      <c r="F216" s="34"/>
      <c r="G216" s="33"/>
      <c r="H216" s="33"/>
      <c r="I216" s="33"/>
      <c r="J216" s="33"/>
      <c r="L216" s="33"/>
      <c r="M216" s="33"/>
      <c r="N216" s="33"/>
      <c r="O216" s="33"/>
    </row>
    <row r="217" spans="5:15" ht="16.5">
      <c r="E217" s="33"/>
      <c r="F217" s="34"/>
      <c r="G217" s="33"/>
      <c r="H217" s="33"/>
      <c r="I217" s="33"/>
      <c r="J217" s="33"/>
      <c r="L217" s="33"/>
      <c r="M217" s="33"/>
      <c r="N217" s="33"/>
      <c r="O217" s="33"/>
    </row>
    <row r="218" spans="5:15" ht="16.5">
      <c r="E218" s="33"/>
      <c r="F218" s="34"/>
      <c r="G218" s="33"/>
      <c r="H218" s="33"/>
      <c r="I218" s="33"/>
      <c r="J218" s="33"/>
      <c r="L218" s="33"/>
      <c r="M218" s="33"/>
      <c r="N218" s="33"/>
      <c r="O218" s="33"/>
    </row>
    <row r="219" spans="5:15" ht="16.5">
      <c r="E219" s="33"/>
      <c r="F219" s="34"/>
      <c r="G219" s="33"/>
      <c r="H219" s="33"/>
      <c r="I219" s="33"/>
      <c r="J219" s="33"/>
      <c r="L219" s="33"/>
      <c r="M219" s="33"/>
      <c r="N219" s="33"/>
      <c r="O219" s="33"/>
    </row>
    <row r="220" spans="5:15" ht="16.5">
      <c r="E220" s="33"/>
      <c r="F220" s="34"/>
      <c r="G220" s="33"/>
      <c r="H220" s="33"/>
      <c r="I220" s="33"/>
      <c r="J220" s="33"/>
      <c r="L220" s="33"/>
      <c r="M220" s="33"/>
      <c r="N220" s="33"/>
      <c r="O220" s="33"/>
    </row>
    <row r="221" spans="5:15" ht="16.5">
      <c r="E221" s="33"/>
      <c r="F221" s="34"/>
      <c r="G221" s="33"/>
      <c r="H221" s="33"/>
      <c r="I221" s="33"/>
      <c r="J221" s="33"/>
      <c r="L221" s="33"/>
      <c r="M221" s="33"/>
      <c r="N221" s="33"/>
      <c r="O221" s="33"/>
    </row>
    <row r="222" spans="5:15" ht="16.5">
      <c r="E222" s="33"/>
      <c r="F222" s="34"/>
      <c r="G222" s="33"/>
      <c r="H222" s="33"/>
      <c r="I222" s="33"/>
      <c r="J222" s="33"/>
      <c r="L222" s="33"/>
      <c r="M222" s="33"/>
      <c r="N222" s="33"/>
      <c r="O222" s="33"/>
    </row>
    <row r="223" spans="5:15" ht="16.5">
      <c r="E223" s="33"/>
      <c r="F223" s="34"/>
      <c r="G223" s="33"/>
      <c r="H223" s="33"/>
      <c r="I223" s="33"/>
      <c r="J223" s="33"/>
      <c r="L223" s="33"/>
      <c r="M223" s="33"/>
      <c r="N223" s="33"/>
      <c r="O223" s="33"/>
    </row>
    <row r="224" spans="5:15" ht="16.5">
      <c r="E224" s="33"/>
      <c r="F224" s="34"/>
      <c r="G224" s="33"/>
      <c r="H224" s="33"/>
      <c r="I224" s="33"/>
      <c r="J224" s="33"/>
      <c r="L224" s="33"/>
      <c r="M224" s="33"/>
      <c r="N224" s="33"/>
      <c r="O224" s="33"/>
    </row>
    <row r="225" spans="5:15" ht="16.5">
      <c r="E225" s="33"/>
      <c r="F225" s="34"/>
      <c r="G225" s="33"/>
      <c r="H225" s="33"/>
      <c r="I225" s="33"/>
      <c r="J225" s="33"/>
      <c r="L225" s="33"/>
      <c r="M225" s="33"/>
      <c r="N225" s="33"/>
      <c r="O225" s="33"/>
    </row>
    <row r="226" spans="5:15" ht="16.5">
      <c r="E226" s="33"/>
      <c r="F226" s="34"/>
      <c r="G226" s="33"/>
      <c r="H226" s="33"/>
      <c r="I226" s="33"/>
      <c r="J226" s="33"/>
      <c r="L226" s="33"/>
      <c r="M226" s="33"/>
      <c r="N226" s="33"/>
      <c r="O226" s="33"/>
    </row>
    <row r="227" spans="5:15" ht="16.5">
      <c r="E227" s="33"/>
      <c r="F227" s="34"/>
      <c r="G227" s="33"/>
      <c r="H227" s="33"/>
      <c r="I227" s="33"/>
      <c r="J227" s="33"/>
      <c r="L227" s="33"/>
      <c r="M227" s="33"/>
      <c r="N227" s="33"/>
      <c r="O227" s="33"/>
    </row>
    <row r="228" spans="5:15" ht="16.5">
      <c r="E228" s="33"/>
      <c r="F228" s="34"/>
      <c r="G228" s="33"/>
      <c r="H228" s="33"/>
      <c r="I228" s="33"/>
      <c r="J228" s="33"/>
      <c r="L228" s="33"/>
      <c r="M228" s="33"/>
      <c r="N228" s="33"/>
      <c r="O228" s="33"/>
    </row>
    <row r="229" spans="5:15" ht="16.5">
      <c r="E229" s="33"/>
      <c r="F229" s="34"/>
      <c r="G229" s="33"/>
      <c r="H229" s="33"/>
      <c r="I229" s="33"/>
      <c r="J229" s="33"/>
      <c r="L229" s="33"/>
      <c r="M229" s="33"/>
      <c r="N229" s="33"/>
      <c r="O229" s="33"/>
    </row>
    <row r="230" spans="5:15" ht="16.5">
      <c r="E230" s="33"/>
      <c r="F230" s="34"/>
      <c r="G230" s="33"/>
      <c r="H230" s="33"/>
      <c r="I230" s="33"/>
      <c r="J230" s="33"/>
      <c r="L230" s="33"/>
      <c r="M230" s="33"/>
      <c r="N230" s="33"/>
      <c r="O230" s="33"/>
    </row>
    <row r="231" spans="5:15" ht="16.5">
      <c r="E231" s="33"/>
      <c r="F231" s="34"/>
      <c r="G231" s="33"/>
      <c r="H231" s="33"/>
      <c r="I231" s="33"/>
      <c r="J231" s="33"/>
      <c r="L231" s="33"/>
      <c r="M231" s="33"/>
      <c r="N231" s="33"/>
      <c r="O231" s="33"/>
    </row>
    <row r="232" spans="5:15" ht="16.5">
      <c r="E232" s="33"/>
      <c r="F232" s="34"/>
      <c r="G232" s="33"/>
      <c r="H232" s="33"/>
      <c r="I232" s="33"/>
      <c r="J232" s="33"/>
      <c r="L232" s="33"/>
      <c r="M232" s="33"/>
      <c r="N232" s="33"/>
      <c r="O232" s="33"/>
    </row>
    <row r="233" spans="5:15" ht="16.5">
      <c r="E233" s="33"/>
      <c r="F233" s="34"/>
      <c r="G233" s="33"/>
      <c r="H233" s="33"/>
      <c r="I233" s="33"/>
      <c r="J233" s="33"/>
      <c r="L233" s="33"/>
      <c r="M233" s="33"/>
      <c r="N233" s="33"/>
      <c r="O233" s="33"/>
    </row>
    <row r="234" spans="5:15" ht="16.5">
      <c r="E234" s="33"/>
      <c r="F234" s="34"/>
      <c r="G234" s="33"/>
      <c r="H234" s="33"/>
      <c r="I234" s="33"/>
      <c r="J234" s="33"/>
      <c r="L234" s="33"/>
      <c r="M234" s="33"/>
      <c r="N234" s="33"/>
      <c r="O234" s="33"/>
    </row>
    <row r="235" spans="5:15" ht="16.5">
      <c r="E235" s="33"/>
      <c r="F235" s="34"/>
      <c r="G235" s="33"/>
      <c r="H235" s="33"/>
      <c r="I235" s="33"/>
      <c r="J235" s="33"/>
      <c r="L235" s="33"/>
      <c r="M235" s="33"/>
      <c r="N235" s="33"/>
      <c r="O235" s="33"/>
    </row>
    <row r="236" spans="5:15" ht="16.5">
      <c r="E236" s="33"/>
      <c r="F236" s="34"/>
      <c r="G236" s="33"/>
      <c r="H236" s="33"/>
      <c r="I236" s="33"/>
      <c r="J236" s="33"/>
      <c r="L236" s="33"/>
      <c r="M236" s="33"/>
      <c r="N236" s="33"/>
      <c r="O236" s="33"/>
    </row>
    <row r="237" spans="5:15" ht="16.5">
      <c r="E237" s="33"/>
      <c r="F237" s="34"/>
      <c r="G237" s="33"/>
      <c r="H237" s="33"/>
      <c r="I237" s="33"/>
      <c r="J237" s="33"/>
      <c r="L237" s="33"/>
      <c r="M237" s="33"/>
      <c r="N237" s="33"/>
      <c r="O237" s="33"/>
    </row>
    <row r="238" spans="5:15" ht="16.5">
      <c r="E238" s="33"/>
      <c r="F238" s="34"/>
      <c r="G238" s="33"/>
      <c r="H238" s="33"/>
      <c r="I238" s="33"/>
      <c r="J238" s="33"/>
      <c r="L238" s="33"/>
      <c r="M238" s="33"/>
      <c r="N238" s="33"/>
      <c r="O238" s="33"/>
    </row>
    <row r="239" spans="5:15" ht="16.5">
      <c r="E239" s="33"/>
      <c r="F239" s="34"/>
      <c r="G239" s="33"/>
      <c r="H239" s="33"/>
      <c r="I239" s="33"/>
      <c r="J239" s="33"/>
      <c r="L239" s="33"/>
      <c r="M239" s="33"/>
      <c r="N239" s="33"/>
      <c r="O239" s="33"/>
    </row>
    <row r="240" spans="5:15" ht="16.5">
      <c r="E240" s="33"/>
      <c r="F240" s="34"/>
      <c r="G240" s="33"/>
      <c r="H240" s="33"/>
      <c r="I240" s="33"/>
      <c r="J240" s="33"/>
      <c r="L240" s="33"/>
      <c r="M240" s="33"/>
      <c r="N240" s="33"/>
      <c r="O240" s="33"/>
    </row>
    <row r="241" spans="5:15" ht="16.5">
      <c r="E241" s="33"/>
      <c r="F241" s="34"/>
      <c r="G241" s="33"/>
      <c r="H241" s="33"/>
      <c r="I241" s="33"/>
      <c r="J241" s="33"/>
      <c r="L241" s="33"/>
      <c r="M241" s="33"/>
      <c r="N241" s="33"/>
      <c r="O241" s="33"/>
    </row>
    <row r="242" spans="5:15" ht="16.5">
      <c r="E242" s="33"/>
      <c r="F242" s="34"/>
      <c r="G242" s="33"/>
      <c r="H242" s="33"/>
      <c r="I242" s="33"/>
      <c r="J242" s="33"/>
      <c r="L242" s="33"/>
      <c r="M242" s="33"/>
      <c r="N242" s="33"/>
      <c r="O242" s="33"/>
    </row>
    <row r="243" spans="5:15" ht="16.5">
      <c r="E243" s="33"/>
      <c r="F243" s="34"/>
      <c r="G243" s="33"/>
      <c r="H243" s="33"/>
      <c r="I243" s="33"/>
      <c r="J243" s="33"/>
      <c r="L243" s="33"/>
      <c r="M243" s="33"/>
      <c r="N243" s="33"/>
      <c r="O243" s="33"/>
    </row>
    <row r="244" spans="5:15" ht="16.5">
      <c r="E244" s="33"/>
      <c r="F244" s="34"/>
      <c r="G244" s="33"/>
      <c r="H244" s="33"/>
      <c r="I244" s="33"/>
      <c r="J244" s="33"/>
      <c r="L244" s="33"/>
      <c r="M244" s="33"/>
      <c r="N244" s="33"/>
      <c r="O244" s="33"/>
    </row>
    <row r="245" spans="5:15" ht="16.5">
      <c r="E245" s="33"/>
      <c r="F245" s="34"/>
      <c r="G245" s="33"/>
      <c r="H245" s="33"/>
      <c r="I245" s="33"/>
      <c r="J245" s="33"/>
      <c r="L245" s="33"/>
      <c r="M245" s="33"/>
      <c r="N245" s="33"/>
      <c r="O245" s="33"/>
    </row>
    <row r="246" spans="5:15" ht="16.5">
      <c r="E246" s="33"/>
      <c r="F246" s="34"/>
      <c r="G246" s="33"/>
      <c r="H246" s="33"/>
      <c r="I246" s="33"/>
      <c r="J246" s="33"/>
      <c r="L246" s="33"/>
      <c r="M246" s="33"/>
      <c r="N246" s="33"/>
      <c r="O246" s="33"/>
    </row>
    <row r="247" spans="5:15" ht="16.5">
      <c r="E247" s="33"/>
      <c r="F247" s="34"/>
      <c r="G247" s="33"/>
      <c r="H247" s="33"/>
      <c r="I247" s="33"/>
      <c r="J247" s="33"/>
      <c r="L247" s="33"/>
      <c r="M247" s="33"/>
      <c r="N247" s="33"/>
      <c r="O247" s="33"/>
    </row>
    <row r="248" spans="5:15" ht="16.5">
      <c r="E248" s="33"/>
      <c r="F248" s="34"/>
      <c r="G248" s="33"/>
      <c r="H248" s="33"/>
      <c r="I248" s="33"/>
      <c r="J248" s="33"/>
      <c r="L248" s="33"/>
      <c r="M248" s="33"/>
      <c r="N248" s="33"/>
      <c r="O248" s="33"/>
    </row>
    <row r="249" spans="5:15" ht="16.5">
      <c r="E249" s="33"/>
      <c r="F249" s="34"/>
      <c r="G249" s="33"/>
      <c r="H249" s="33"/>
      <c r="I249" s="33"/>
      <c r="J249" s="33"/>
      <c r="L249" s="33"/>
      <c r="M249" s="33"/>
      <c r="N249" s="33"/>
      <c r="O249" s="33"/>
    </row>
    <row r="250" spans="5:15" ht="16.5">
      <c r="E250" s="33"/>
      <c r="F250" s="34"/>
      <c r="G250" s="33"/>
      <c r="H250" s="33"/>
      <c r="I250" s="33"/>
      <c r="J250" s="33"/>
      <c r="L250" s="33"/>
      <c r="M250" s="33"/>
      <c r="N250" s="33"/>
      <c r="O250" s="33"/>
    </row>
    <row r="251" spans="5:15" ht="16.5">
      <c r="E251" s="33"/>
      <c r="F251" s="34"/>
      <c r="G251" s="33"/>
      <c r="H251" s="33"/>
      <c r="I251" s="33"/>
      <c r="J251" s="33"/>
      <c r="L251" s="33"/>
      <c r="M251" s="33"/>
      <c r="N251" s="33"/>
      <c r="O251" s="33"/>
    </row>
    <row r="252" spans="5:15" ht="16.5">
      <c r="E252" s="33"/>
      <c r="F252" s="34"/>
      <c r="G252" s="33"/>
      <c r="H252" s="33"/>
      <c r="I252" s="33"/>
      <c r="J252" s="33"/>
      <c r="L252" s="33"/>
      <c r="M252" s="33"/>
      <c r="N252" s="33"/>
      <c r="O252" s="33"/>
    </row>
    <row r="253" spans="5:15" ht="16.5">
      <c r="E253" s="33"/>
      <c r="F253" s="34"/>
      <c r="G253" s="33"/>
      <c r="H253" s="33"/>
      <c r="I253" s="33"/>
      <c r="J253" s="33"/>
      <c r="L253" s="33"/>
      <c r="M253" s="33"/>
      <c r="N253" s="33"/>
      <c r="O253" s="33"/>
    </row>
    <row r="254" spans="5:15" ht="16.5">
      <c r="E254" s="33"/>
      <c r="F254" s="34"/>
      <c r="G254" s="33"/>
      <c r="H254" s="33"/>
      <c r="I254" s="33"/>
      <c r="J254" s="33"/>
      <c r="L254" s="33"/>
      <c r="M254" s="33"/>
      <c r="N254" s="33"/>
      <c r="O254" s="33"/>
    </row>
    <row r="255" spans="5:15" ht="16.5">
      <c r="E255" s="33"/>
      <c r="F255" s="34"/>
      <c r="G255" s="33"/>
      <c r="H255" s="33"/>
      <c r="I255" s="33"/>
      <c r="J255" s="33"/>
      <c r="L255" s="33"/>
      <c r="M255" s="33"/>
      <c r="N255" s="33"/>
      <c r="O255" s="33"/>
    </row>
    <row r="256" spans="5:15" ht="16.5">
      <c r="E256" s="33"/>
      <c r="F256" s="34"/>
      <c r="G256" s="33"/>
      <c r="H256" s="33"/>
      <c r="I256" s="33"/>
      <c r="J256" s="33"/>
      <c r="L256" s="33"/>
      <c r="M256" s="33"/>
      <c r="N256" s="33"/>
      <c r="O256" s="33"/>
    </row>
    <row r="257" spans="5:15" ht="16.5">
      <c r="E257" s="33"/>
      <c r="F257" s="34"/>
      <c r="G257" s="33"/>
      <c r="H257" s="33"/>
      <c r="I257" s="33"/>
      <c r="J257" s="33"/>
      <c r="L257" s="33"/>
      <c r="M257" s="33"/>
      <c r="N257" s="33"/>
      <c r="O257" s="33"/>
    </row>
    <row r="258" spans="5:15" ht="16.5">
      <c r="E258" s="33"/>
      <c r="F258" s="34"/>
      <c r="G258" s="33"/>
      <c r="H258" s="33"/>
      <c r="I258" s="33"/>
      <c r="J258" s="33"/>
      <c r="L258" s="33"/>
      <c r="M258" s="33"/>
      <c r="N258" s="33"/>
      <c r="O258" s="33"/>
    </row>
    <row r="259" spans="5:15" ht="16.5">
      <c r="E259" s="33"/>
      <c r="F259" s="34"/>
      <c r="G259" s="33"/>
      <c r="H259" s="33"/>
      <c r="I259" s="33"/>
      <c r="J259" s="33"/>
      <c r="L259" s="33"/>
      <c r="M259" s="33"/>
      <c r="N259" s="33"/>
      <c r="O259" s="33"/>
    </row>
    <row r="260" spans="5:15" ht="16.5">
      <c r="E260" s="33"/>
      <c r="F260" s="34"/>
      <c r="G260" s="33"/>
      <c r="H260" s="33"/>
      <c r="I260" s="33"/>
      <c r="J260" s="33"/>
      <c r="L260" s="33"/>
      <c r="M260" s="33"/>
      <c r="N260" s="33"/>
      <c r="O260" s="33"/>
    </row>
    <row r="261" spans="5:15" ht="16.5">
      <c r="E261" s="33"/>
      <c r="F261" s="34"/>
      <c r="G261" s="33"/>
      <c r="H261" s="33"/>
      <c r="I261" s="33"/>
      <c r="J261" s="33"/>
      <c r="L261" s="33"/>
      <c r="M261" s="33"/>
      <c r="N261" s="33"/>
      <c r="O261" s="33"/>
    </row>
    <row r="262" spans="5:15" ht="16.5">
      <c r="E262" s="33"/>
      <c r="F262" s="34"/>
      <c r="G262" s="33"/>
      <c r="H262" s="33"/>
      <c r="I262" s="33"/>
      <c r="J262" s="33"/>
      <c r="L262" s="33"/>
      <c r="M262" s="33"/>
      <c r="N262" s="33"/>
      <c r="O262" s="33"/>
    </row>
    <row r="263" spans="5:15" ht="16.5">
      <c r="E263" s="33"/>
      <c r="F263" s="34"/>
      <c r="G263" s="33"/>
      <c r="H263" s="33"/>
      <c r="I263" s="33"/>
      <c r="J263" s="33"/>
      <c r="L263" s="33"/>
      <c r="M263" s="33"/>
      <c r="N263" s="33"/>
      <c r="O263" s="33"/>
    </row>
    <row r="264" spans="5:15" ht="16.5">
      <c r="E264" s="33"/>
      <c r="F264" s="34"/>
      <c r="G264" s="33"/>
      <c r="H264" s="33"/>
      <c r="I264" s="33"/>
      <c r="J264" s="33"/>
      <c r="L264" s="33"/>
      <c r="M264" s="33"/>
      <c r="N264" s="33"/>
      <c r="O264" s="33"/>
    </row>
    <row r="265" spans="5:15" ht="16.5">
      <c r="E265" s="33"/>
      <c r="F265" s="34"/>
      <c r="G265" s="33"/>
      <c r="H265" s="33"/>
      <c r="I265" s="33"/>
      <c r="J265" s="33"/>
      <c r="L265" s="33"/>
      <c r="M265" s="33"/>
      <c r="N265" s="33"/>
      <c r="O265" s="33"/>
    </row>
    <row r="266" spans="5:15" ht="16.5">
      <c r="E266" s="33"/>
      <c r="F266" s="34"/>
      <c r="G266" s="33"/>
      <c r="H266" s="33"/>
      <c r="I266" s="33"/>
      <c r="J266" s="33"/>
      <c r="L266" s="33"/>
      <c r="M266" s="33"/>
      <c r="N266" s="33"/>
      <c r="O266" s="33"/>
    </row>
    <row r="267" spans="5:15" ht="16.5">
      <c r="E267" s="33"/>
      <c r="F267" s="34"/>
      <c r="G267" s="33"/>
      <c r="H267" s="33"/>
      <c r="I267" s="33"/>
      <c r="J267" s="33"/>
      <c r="L267" s="33"/>
      <c r="M267" s="33"/>
      <c r="N267" s="33"/>
      <c r="O267" s="33"/>
    </row>
    <row r="268" spans="5:15" ht="16.5">
      <c r="E268" s="33"/>
      <c r="F268" s="34"/>
      <c r="G268" s="33"/>
      <c r="H268" s="33"/>
      <c r="I268" s="33"/>
      <c r="J268" s="33"/>
      <c r="L268" s="33"/>
      <c r="M268" s="33"/>
      <c r="N268" s="33"/>
      <c r="O268" s="33"/>
    </row>
    <row r="269" spans="5:15" ht="16.5">
      <c r="E269" s="33"/>
      <c r="F269" s="34"/>
      <c r="G269" s="33"/>
      <c r="H269" s="33"/>
      <c r="I269" s="33"/>
      <c r="J269" s="33"/>
      <c r="L269" s="33"/>
      <c r="M269" s="33"/>
      <c r="N269" s="33"/>
      <c r="O269" s="33"/>
    </row>
    <row r="270" spans="5:15" ht="16.5">
      <c r="E270" s="33"/>
      <c r="F270" s="34"/>
      <c r="G270" s="33"/>
      <c r="H270" s="33"/>
      <c r="I270" s="33"/>
      <c r="J270" s="33"/>
      <c r="L270" s="33"/>
      <c r="M270" s="33"/>
      <c r="N270" s="33"/>
      <c r="O270" s="33"/>
    </row>
    <row r="271" spans="5:15" ht="16.5">
      <c r="E271" s="33"/>
      <c r="F271" s="34"/>
      <c r="G271" s="33"/>
      <c r="H271" s="33"/>
      <c r="I271" s="33"/>
      <c r="J271" s="33"/>
      <c r="L271" s="33"/>
      <c r="M271" s="33"/>
      <c r="N271" s="33"/>
      <c r="O271" s="33"/>
    </row>
    <row r="272" spans="5:15" ht="16.5">
      <c r="E272" s="33"/>
      <c r="F272" s="34"/>
      <c r="G272" s="33"/>
      <c r="H272" s="33"/>
      <c r="I272" s="33"/>
      <c r="J272" s="33"/>
      <c r="L272" s="33"/>
      <c r="M272" s="33"/>
      <c r="N272" s="33"/>
      <c r="O272" s="33"/>
    </row>
    <row r="273" spans="5:15" ht="16.5">
      <c r="E273" s="33"/>
      <c r="F273" s="34"/>
      <c r="G273" s="33"/>
      <c r="H273" s="33"/>
      <c r="I273" s="33"/>
      <c r="J273" s="33"/>
      <c r="L273" s="33"/>
      <c r="M273" s="33"/>
      <c r="N273" s="33"/>
      <c r="O273" s="33"/>
    </row>
    <row r="274" spans="5:15" ht="16.5">
      <c r="E274" s="33"/>
      <c r="F274" s="34"/>
      <c r="G274" s="33"/>
      <c r="H274" s="33"/>
      <c r="I274" s="33"/>
      <c r="J274" s="33"/>
      <c r="L274" s="33"/>
      <c r="M274" s="33"/>
      <c r="N274" s="33"/>
      <c r="O274" s="33"/>
    </row>
    <row r="275" spans="5:15" ht="16.5">
      <c r="E275" s="33"/>
      <c r="F275" s="34"/>
      <c r="G275" s="33"/>
      <c r="H275" s="33"/>
      <c r="I275" s="33"/>
      <c r="J275" s="33"/>
      <c r="L275" s="33"/>
      <c r="M275" s="33"/>
      <c r="N275" s="33"/>
      <c r="O275" s="33"/>
    </row>
    <row r="276" spans="5:15" ht="16.5">
      <c r="E276" s="33"/>
      <c r="F276" s="34"/>
      <c r="G276" s="33"/>
      <c r="H276" s="33"/>
      <c r="I276" s="33"/>
      <c r="J276" s="33"/>
      <c r="L276" s="33"/>
      <c r="M276" s="33"/>
      <c r="N276" s="33"/>
      <c r="O276" s="33"/>
    </row>
    <row r="277" spans="5:15" ht="16.5">
      <c r="E277" s="33"/>
      <c r="F277" s="34"/>
      <c r="G277" s="33"/>
      <c r="H277" s="33"/>
      <c r="I277" s="33"/>
      <c r="J277" s="33"/>
      <c r="L277" s="33"/>
      <c r="M277" s="33"/>
      <c r="N277" s="33"/>
      <c r="O277" s="33"/>
    </row>
    <row r="278" spans="5:15" ht="16.5">
      <c r="E278" s="33"/>
      <c r="F278" s="34"/>
      <c r="G278" s="33"/>
      <c r="H278" s="33"/>
      <c r="I278" s="33"/>
      <c r="J278" s="33"/>
      <c r="L278" s="33"/>
      <c r="M278" s="33"/>
      <c r="N278" s="33"/>
      <c r="O278" s="33"/>
    </row>
    <row r="279" spans="5:15" ht="16.5">
      <c r="E279" s="33"/>
      <c r="F279" s="34"/>
      <c r="G279" s="33"/>
      <c r="H279" s="33"/>
      <c r="I279" s="33"/>
      <c r="J279" s="33"/>
      <c r="L279" s="33"/>
      <c r="M279" s="33"/>
      <c r="N279" s="33"/>
      <c r="O279" s="33"/>
    </row>
    <row r="280" spans="5:15" ht="16.5">
      <c r="E280" s="33"/>
      <c r="F280" s="34"/>
      <c r="G280" s="33"/>
      <c r="H280" s="33"/>
      <c r="I280" s="33"/>
      <c r="J280" s="33"/>
      <c r="L280" s="33"/>
      <c r="M280" s="33"/>
      <c r="N280" s="33"/>
      <c r="O280" s="33"/>
    </row>
    <row r="281" spans="5:15" ht="16.5">
      <c r="E281" s="33"/>
      <c r="F281" s="34"/>
      <c r="G281" s="33"/>
      <c r="H281" s="33"/>
      <c r="I281" s="33"/>
      <c r="J281" s="33"/>
      <c r="L281" s="33"/>
      <c r="M281" s="33"/>
      <c r="N281" s="33"/>
      <c r="O281" s="33"/>
    </row>
    <row r="282" spans="5:15" ht="16.5">
      <c r="E282" s="33"/>
      <c r="F282" s="34"/>
      <c r="G282" s="33"/>
      <c r="H282" s="33"/>
      <c r="I282" s="33"/>
      <c r="J282" s="33"/>
      <c r="L282" s="33"/>
      <c r="M282" s="33"/>
      <c r="N282" s="33"/>
      <c r="O282" s="33"/>
    </row>
    <row r="283" spans="5:15" ht="16.5">
      <c r="E283" s="33"/>
      <c r="F283" s="34"/>
      <c r="G283" s="33"/>
      <c r="H283" s="33"/>
      <c r="I283" s="33"/>
      <c r="J283" s="33"/>
      <c r="L283" s="33"/>
      <c r="M283" s="33"/>
      <c r="N283" s="33"/>
      <c r="O283" s="33"/>
    </row>
    <row r="284" spans="5:15" ht="16.5">
      <c r="E284" s="33"/>
      <c r="F284" s="34"/>
      <c r="G284" s="33"/>
      <c r="H284" s="33"/>
      <c r="I284" s="33"/>
      <c r="J284" s="33"/>
      <c r="L284" s="33"/>
      <c r="M284" s="33"/>
      <c r="N284" s="33"/>
      <c r="O284" s="33"/>
    </row>
    <row r="285" spans="5:15" ht="16.5">
      <c r="E285" s="33"/>
      <c r="F285" s="34"/>
      <c r="G285" s="33"/>
      <c r="H285" s="33"/>
      <c r="I285" s="33"/>
      <c r="J285" s="33"/>
      <c r="L285" s="33"/>
      <c r="M285" s="33"/>
      <c r="N285" s="33"/>
      <c r="O285" s="33"/>
    </row>
    <row r="286" spans="5:15" ht="16.5">
      <c r="E286" s="33"/>
      <c r="F286" s="34"/>
      <c r="G286" s="33"/>
      <c r="H286" s="33"/>
      <c r="I286" s="33"/>
      <c r="J286" s="33"/>
      <c r="L286" s="33"/>
      <c r="M286" s="33"/>
      <c r="N286" s="33"/>
      <c r="O286" s="33"/>
    </row>
    <row r="287" spans="5:15" ht="16.5">
      <c r="E287" s="33"/>
      <c r="F287" s="34"/>
      <c r="G287" s="33"/>
      <c r="H287" s="33"/>
      <c r="I287" s="33"/>
      <c r="J287" s="33"/>
      <c r="L287" s="33"/>
      <c r="M287" s="33"/>
      <c r="N287" s="33"/>
      <c r="O287" s="33"/>
    </row>
    <row r="288" spans="5:15" ht="16.5">
      <c r="E288" s="33"/>
      <c r="F288" s="34"/>
      <c r="G288" s="33"/>
      <c r="H288" s="33"/>
      <c r="I288" s="33"/>
      <c r="J288" s="33"/>
      <c r="L288" s="33"/>
      <c r="M288" s="33"/>
      <c r="N288" s="33"/>
      <c r="O288" s="33"/>
    </row>
    <row r="289" spans="5:15" ht="16.5">
      <c r="E289" s="33"/>
      <c r="F289" s="34"/>
      <c r="G289" s="33"/>
      <c r="H289" s="33"/>
      <c r="I289" s="33"/>
      <c r="J289" s="33"/>
      <c r="L289" s="33"/>
      <c r="M289" s="33"/>
      <c r="N289" s="33"/>
      <c r="O289" s="33"/>
    </row>
    <row r="290" spans="5:15" ht="16.5">
      <c r="E290" s="33"/>
      <c r="F290" s="34"/>
      <c r="G290" s="33"/>
      <c r="H290" s="33"/>
      <c r="I290" s="33"/>
      <c r="J290" s="33"/>
      <c r="L290" s="33"/>
      <c r="M290" s="33"/>
      <c r="N290" s="33"/>
      <c r="O290" s="33"/>
    </row>
    <row r="291" spans="5:15" ht="16.5">
      <c r="E291" s="33"/>
      <c r="F291" s="34"/>
      <c r="G291" s="33"/>
      <c r="H291" s="33"/>
      <c r="I291" s="33"/>
      <c r="J291" s="33"/>
      <c r="L291" s="33"/>
      <c r="M291" s="33"/>
      <c r="N291" s="33"/>
      <c r="O291" s="33"/>
    </row>
    <row r="292" spans="5:15" ht="16.5">
      <c r="E292" s="33"/>
      <c r="F292" s="34"/>
      <c r="G292" s="33"/>
      <c r="H292" s="33"/>
      <c r="I292" s="33"/>
      <c r="J292" s="33"/>
      <c r="L292" s="33"/>
      <c r="M292" s="33"/>
      <c r="N292" s="33"/>
      <c r="O292" s="33"/>
    </row>
    <row r="293" spans="5:15" ht="16.5">
      <c r="E293" s="33"/>
      <c r="F293" s="34"/>
      <c r="G293" s="33"/>
      <c r="H293" s="33"/>
      <c r="I293" s="33"/>
      <c r="J293" s="33"/>
      <c r="L293" s="33"/>
      <c r="M293" s="33"/>
      <c r="N293" s="33"/>
      <c r="O293" s="33"/>
    </row>
    <row r="294" spans="5:15" ht="16.5">
      <c r="E294" s="33"/>
      <c r="F294" s="34"/>
      <c r="G294" s="33"/>
      <c r="H294" s="33"/>
      <c r="I294" s="33"/>
      <c r="J294" s="33"/>
      <c r="L294" s="33"/>
      <c r="M294" s="33"/>
      <c r="N294" s="33"/>
      <c r="O294" s="33"/>
    </row>
    <row r="295" spans="5:15" ht="16.5">
      <c r="E295" s="33"/>
      <c r="F295" s="34"/>
      <c r="G295" s="33"/>
      <c r="H295" s="33"/>
      <c r="I295" s="33"/>
      <c r="J295" s="33"/>
      <c r="L295" s="33"/>
      <c r="M295" s="33"/>
      <c r="N295" s="33"/>
      <c r="O295" s="33"/>
    </row>
    <row r="296" spans="5:15" ht="16.5">
      <c r="E296" s="33"/>
      <c r="F296" s="34"/>
      <c r="G296" s="33"/>
      <c r="H296" s="33"/>
      <c r="I296" s="33"/>
      <c r="J296" s="33"/>
      <c r="L296" s="33"/>
      <c r="M296" s="33"/>
      <c r="N296" s="33"/>
      <c r="O296" s="33"/>
    </row>
    <row r="297" spans="5:15" ht="16.5">
      <c r="E297" s="33"/>
      <c r="F297" s="34"/>
      <c r="G297" s="33"/>
      <c r="H297" s="33"/>
      <c r="I297" s="33"/>
      <c r="J297" s="33"/>
      <c r="L297" s="33"/>
      <c r="M297" s="33"/>
      <c r="N297" s="33"/>
      <c r="O297" s="33"/>
    </row>
    <row r="298" spans="5:15" ht="16.5">
      <c r="E298" s="33"/>
      <c r="F298" s="34"/>
      <c r="G298" s="33"/>
      <c r="H298" s="33"/>
      <c r="I298" s="33"/>
      <c r="J298" s="33"/>
      <c r="L298" s="33"/>
      <c r="M298" s="33"/>
      <c r="N298" s="33"/>
      <c r="O298" s="33"/>
    </row>
    <row r="299" spans="5:15" ht="16.5">
      <c r="E299" s="33"/>
      <c r="F299" s="34"/>
      <c r="G299" s="33"/>
      <c r="H299" s="33"/>
      <c r="I299" s="33"/>
      <c r="J299" s="33"/>
      <c r="L299" s="33"/>
      <c r="M299" s="33"/>
      <c r="N299" s="33"/>
      <c r="O299" s="33"/>
    </row>
    <row r="300" spans="5:15" ht="16.5">
      <c r="E300" s="33"/>
      <c r="F300" s="34"/>
      <c r="G300" s="33"/>
      <c r="H300" s="33"/>
      <c r="I300" s="33"/>
      <c r="J300" s="33"/>
      <c r="L300" s="33"/>
      <c r="M300" s="33"/>
      <c r="N300" s="33"/>
      <c r="O300" s="33"/>
    </row>
    <row r="301" spans="5:15" ht="16.5">
      <c r="E301" s="33"/>
      <c r="F301" s="34"/>
      <c r="G301" s="33"/>
      <c r="H301" s="33"/>
      <c r="I301" s="33"/>
      <c r="J301" s="33"/>
      <c r="L301" s="33"/>
      <c r="M301" s="33"/>
      <c r="N301" s="33"/>
      <c r="O301" s="33"/>
    </row>
    <row r="302" spans="5:15" ht="16.5">
      <c r="E302" s="33"/>
      <c r="F302" s="34"/>
      <c r="G302" s="33"/>
      <c r="H302" s="33"/>
      <c r="I302" s="33"/>
      <c r="J302" s="33"/>
      <c r="L302" s="33"/>
      <c r="M302" s="33"/>
      <c r="N302" s="33"/>
      <c r="O302" s="33"/>
    </row>
    <row r="303" spans="5:15" ht="16.5">
      <c r="E303" s="33"/>
      <c r="F303" s="34"/>
      <c r="G303" s="33"/>
      <c r="H303" s="33"/>
      <c r="I303" s="33"/>
      <c r="J303" s="33"/>
      <c r="L303" s="33"/>
      <c r="M303" s="33"/>
      <c r="N303" s="33"/>
      <c r="O303" s="33"/>
    </row>
    <row r="304" spans="5:15" ht="16.5">
      <c r="E304" s="33"/>
      <c r="F304" s="34"/>
      <c r="G304" s="33"/>
      <c r="H304" s="33"/>
      <c r="I304" s="33"/>
      <c r="J304" s="33"/>
      <c r="L304" s="33"/>
      <c r="M304" s="33"/>
      <c r="N304" s="33"/>
      <c r="O304" s="33"/>
    </row>
    <row r="305" spans="5:15" ht="16.5">
      <c r="E305" s="33"/>
      <c r="F305" s="34"/>
      <c r="G305" s="33"/>
      <c r="H305" s="33"/>
      <c r="I305" s="33"/>
      <c r="J305" s="33"/>
      <c r="L305" s="33"/>
      <c r="M305" s="33"/>
      <c r="N305" s="33"/>
      <c r="O305" s="33"/>
    </row>
    <row r="306" spans="5:15" ht="16.5">
      <c r="E306" s="33"/>
      <c r="F306" s="34"/>
      <c r="G306" s="33"/>
      <c r="H306" s="33"/>
      <c r="I306" s="33"/>
      <c r="J306" s="33"/>
      <c r="L306" s="33"/>
      <c r="M306" s="33"/>
      <c r="N306" s="33"/>
      <c r="O306" s="33"/>
    </row>
    <row r="307" spans="5:15" ht="16.5">
      <c r="E307" s="33"/>
      <c r="F307" s="34"/>
      <c r="G307" s="33"/>
      <c r="H307" s="33"/>
      <c r="I307" s="33"/>
      <c r="J307" s="33"/>
      <c r="L307" s="33"/>
      <c r="M307" s="33"/>
      <c r="N307" s="33"/>
      <c r="O307" s="33"/>
    </row>
    <row r="308" spans="5:15" ht="16.5">
      <c r="E308" s="33"/>
      <c r="F308" s="34"/>
      <c r="G308" s="33"/>
      <c r="H308" s="33"/>
      <c r="I308" s="33"/>
      <c r="J308" s="33"/>
      <c r="L308" s="33"/>
      <c r="M308" s="33"/>
      <c r="N308" s="33"/>
      <c r="O308" s="33"/>
    </row>
    <row r="309" spans="5:15" ht="16.5">
      <c r="E309" s="33"/>
      <c r="F309" s="34"/>
      <c r="G309" s="33"/>
      <c r="H309" s="33"/>
      <c r="I309" s="33"/>
      <c r="J309" s="33"/>
      <c r="L309" s="33"/>
      <c r="M309" s="33"/>
      <c r="N309" s="33"/>
      <c r="O309" s="33"/>
    </row>
    <row r="310" spans="5:15" ht="16.5">
      <c r="E310" s="33"/>
      <c r="F310" s="34"/>
      <c r="G310" s="33"/>
      <c r="H310" s="33"/>
      <c r="I310" s="33"/>
      <c r="J310" s="33"/>
      <c r="L310" s="33"/>
      <c r="M310" s="33"/>
      <c r="N310" s="33"/>
      <c r="O310" s="33"/>
    </row>
    <row r="311" spans="5:15" ht="16.5">
      <c r="E311" s="33"/>
      <c r="F311" s="34"/>
      <c r="G311" s="33"/>
      <c r="H311" s="33"/>
      <c r="I311" s="33"/>
      <c r="J311" s="33"/>
      <c r="L311" s="33"/>
      <c r="M311" s="33"/>
      <c r="N311" s="33"/>
      <c r="O311" s="33"/>
    </row>
    <row r="312" spans="5:15" ht="16.5">
      <c r="E312" s="33"/>
      <c r="F312" s="34"/>
      <c r="G312" s="33"/>
      <c r="H312" s="33"/>
      <c r="I312" s="33"/>
      <c r="J312" s="33"/>
      <c r="L312" s="33"/>
      <c r="M312" s="33"/>
      <c r="N312" s="33"/>
      <c r="O312" s="33"/>
    </row>
    <row r="313" spans="5:15" ht="16.5">
      <c r="E313" s="33"/>
      <c r="F313" s="34"/>
      <c r="G313" s="33"/>
      <c r="H313" s="33"/>
      <c r="I313" s="33"/>
      <c r="J313" s="33"/>
      <c r="L313" s="33"/>
      <c r="M313" s="33"/>
      <c r="N313" s="33"/>
      <c r="O313" s="33"/>
    </row>
    <row r="314" spans="5:15" ht="16.5">
      <c r="E314" s="33"/>
      <c r="F314" s="34"/>
      <c r="G314" s="33"/>
      <c r="H314" s="33"/>
      <c r="I314" s="33"/>
      <c r="J314" s="33"/>
      <c r="L314" s="33"/>
      <c r="M314" s="33"/>
      <c r="N314" s="33"/>
      <c r="O314" s="33"/>
    </row>
    <row r="315" spans="5:15" ht="16.5">
      <c r="E315" s="33"/>
      <c r="F315" s="34"/>
      <c r="G315" s="33"/>
      <c r="H315" s="33"/>
      <c r="I315" s="33"/>
      <c r="J315" s="33"/>
      <c r="L315" s="33"/>
      <c r="M315" s="33"/>
      <c r="N315" s="33"/>
      <c r="O315" s="33"/>
    </row>
    <row r="316" spans="5:15" ht="16.5">
      <c r="E316" s="33"/>
      <c r="F316" s="34"/>
      <c r="G316" s="33"/>
      <c r="H316" s="33"/>
      <c r="I316" s="33"/>
      <c r="J316" s="33"/>
      <c r="L316" s="33"/>
      <c r="M316" s="33"/>
      <c r="N316" s="33"/>
      <c r="O316" s="33"/>
    </row>
    <row r="317" spans="5:15" ht="16.5">
      <c r="E317" s="33"/>
      <c r="F317" s="34"/>
      <c r="G317" s="33"/>
      <c r="H317" s="33"/>
      <c r="I317" s="33"/>
      <c r="J317" s="33"/>
      <c r="L317" s="33"/>
      <c r="M317" s="33"/>
      <c r="N317" s="33"/>
      <c r="O317" s="33"/>
    </row>
    <row r="318" spans="5:15" ht="16.5">
      <c r="E318" s="33"/>
      <c r="F318" s="34"/>
      <c r="G318" s="33"/>
      <c r="H318" s="33"/>
      <c r="I318" s="33"/>
      <c r="J318" s="33"/>
      <c r="L318" s="33"/>
      <c r="M318" s="33"/>
      <c r="N318" s="33"/>
      <c r="O318" s="33"/>
    </row>
    <row r="319" spans="5:15" ht="16.5">
      <c r="E319" s="33"/>
      <c r="F319" s="34"/>
      <c r="G319" s="33"/>
      <c r="H319" s="33"/>
      <c r="I319" s="33"/>
      <c r="J319" s="33"/>
      <c r="L319" s="33"/>
      <c r="M319" s="33"/>
      <c r="N319" s="33"/>
      <c r="O319" s="33"/>
    </row>
    <row r="320" spans="5:15" ht="16.5">
      <c r="E320" s="33"/>
      <c r="F320" s="34"/>
      <c r="G320" s="33"/>
      <c r="H320" s="33"/>
      <c r="I320" s="33"/>
      <c r="J320" s="33"/>
      <c r="L320" s="33"/>
      <c r="M320" s="33"/>
      <c r="N320" s="33"/>
      <c r="O320" s="33"/>
    </row>
    <row r="321" spans="5:15" ht="16.5">
      <c r="E321" s="33"/>
      <c r="F321" s="34"/>
      <c r="G321" s="33"/>
      <c r="H321" s="33"/>
      <c r="I321" s="33"/>
      <c r="J321" s="33"/>
      <c r="L321" s="33"/>
      <c r="M321" s="33"/>
      <c r="N321" s="33"/>
      <c r="O321" s="33"/>
    </row>
    <row r="322" spans="5:15" ht="16.5">
      <c r="E322" s="33"/>
      <c r="F322" s="34"/>
      <c r="G322" s="33"/>
      <c r="H322" s="33"/>
      <c r="I322" s="33"/>
      <c r="J322" s="33"/>
      <c r="L322" s="33"/>
      <c r="M322" s="33"/>
      <c r="N322" s="33"/>
      <c r="O322" s="33"/>
    </row>
    <row r="323" spans="5:15" ht="16.5">
      <c r="E323" s="33"/>
      <c r="F323" s="34"/>
      <c r="G323" s="33"/>
      <c r="H323" s="33"/>
      <c r="I323" s="33"/>
      <c r="J323" s="33"/>
      <c r="L323" s="33"/>
      <c r="M323" s="33"/>
      <c r="N323" s="33"/>
      <c r="O323" s="33"/>
    </row>
    <row r="324" spans="5:15" ht="16.5">
      <c r="E324" s="33"/>
      <c r="F324" s="34"/>
      <c r="G324" s="33"/>
      <c r="H324" s="33"/>
      <c r="I324" s="33"/>
      <c r="J324" s="33"/>
      <c r="L324" s="33"/>
      <c r="M324" s="33"/>
      <c r="N324" s="33"/>
      <c r="O324" s="33"/>
    </row>
    <row r="325" spans="5:15" ht="16.5">
      <c r="E325" s="33"/>
      <c r="F325" s="34"/>
      <c r="G325" s="33"/>
      <c r="H325" s="33"/>
      <c r="I325" s="33"/>
      <c r="J325" s="33"/>
      <c r="L325" s="33"/>
      <c r="M325" s="33"/>
      <c r="N325" s="33"/>
      <c r="O325" s="33"/>
    </row>
    <row r="326" spans="5:15" ht="16.5">
      <c r="E326" s="33"/>
      <c r="F326" s="34"/>
      <c r="G326" s="33"/>
      <c r="H326" s="33"/>
      <c r="I326" s="33"/>
      <c r="J326" s="33"/>
      <c r="L326" s="33"/>
      <c r="M326" s="33"/>
      <c r="N326" s="33"/>
      <c r="O326" s="33"/>
    </row>
    <row r="327" spans="5:15" ht="16.5">
      <c r="E327" s="33"/>
      <c r="F327" s="34"/>
      <c r="G327" s="33"/>
      <c r="H327" s="33"/>
      <c r="I327" s="33"/>
      <c r="J327" s="33"/>
      <c r="L327" s="33"/>
      <c r="M327" s="33"/>
      <c r="N327" s="33"/>
      <c r="O327" s="33"/>
    </row>
    <row r="328" spans="5:15" ht="16.5">
      <c r="E328" s="33"/>
      <c r="F328" s="34"/>
      <c r="G328" s="33"/>
      <c r="H328" s="33"/>
      <c r="I328" s="33"/>
      <c r="J328" s="33"/>
      <c r="L328" s="33"/>
      <c r="M328" s="33"/>
      <c r="N328" s="33"/>
      <c r="O328" s="33"/>
    </row>
    <row r="329" spans="5:15" ht="16.5">
      <c r="E329" s="33"/>
      <c r="F329" s="34"/>
      <c r="G329" s="33"/>
      <c r="H329" s="33"/>
      <c r="I329" s="33"/>
      <c r="J329" s="33"/>
      <c r="L329" s="33"/>
      <c r="M329" s="33"/>
      <c r="N329" s="33"/>
      <c r="O329" s="33"/>
    </row>
    <row r="330" spans="5:15" ht="16.5">
      <c r="E330" s="33"/>
      <c r="F330" s="34"/>
      <c r="G330" s="33"/>
      <c r="H330" s="33"/>
      <c r="I330" s="33"/>
      <c r="J330" s="33"/>
      <c r="L330" s="33"/>
      <c r="M330" s="33"/>
      <c r="N330" s="33"/>
      <c r="O330" s="33"/>
    </row>
    <row r="331" spans="5:15" ht="16.5">
      <c r="E331" s="33"/>
      <c r="F331" s="34"/>
      <c r="G331" s="33"/>
      <c r="H331" s="33"/>
      <c r="I331" s="33"/>
      <c r="J331" s="33"/>
      <c r="L331" s="33"/>
      <c r="M331" s="33"/>
      <c r="N331" s="33"/>
      <c r="O331" s="33"/>
    </row>
    <row r="332" spans="5:15" ht="16.5">
      <c r="E332" s="33"/>
      <c r="F332" s="34"/>
      <c r="G332" s="33"/>
      <c r="H332" s="33"/>
      <c r="I332" s="33"/>
      <c r="J332" s="33"/>
      <c r="L332" s="33"/>
      <c r="M332" s="33"/>
      <c r="N332" s="33"/>
      <c r="O332" s="33"/>
    </row>
    <row r="333" spans="5:15" ht="16.5">
      <c r="E333" s="33"/>
      <c r="F333" s="34"/>
      <c r="G333" s="33"/>
      <c r="H333" s="33"/>
      <c r="I333" s="33"/>
      <c r="J333" s="33"/>
      <c r="L333" s="33"/>
      <c r="M333" s="33"/>
      <c r="N333" s="33"/>
      <c r="O333" s="33"/>
    </row>
    <row r="334" spans="5:15" ht="16.5">
      <c r="E334" s="33"/>
      <c r="F334" s="34"/>
      <c r="G334" s="33"/>
      <c r="H334" s="33"/>
      <c r="I334" s="33"/>
      <c r="J334" s="33"/>
      <c r="L334" s="33"/>
      <c r="M334" s="33"/>
      <c r="N334" s="33"/>
      <c r="O334" s="33"/>
    </row>
    <row r="335" spans="5:15" ht="16.5">
      <c r="E335" s="33"/>
      <c r="F335" s="34"/>
      <c r="G335" s="33"/>
      <c r="H335" s="33"/>
      <c r="I335" s="33"/>
      <c r="J335" s="33"/>
      <c r="L335" s="33"/>
      <c r="M335" s="33"/>
      <c r="N335" s="33"/>
      <c r="O335" s="33"/>
    </row>
    <row r="336" spans="5:15" ht="16.5">
      <c r="E336" s="33"/>
      <c r="F336" s="34"/>
      <c r="G336" s="33"/>
      <c r="H336" s="33"/>
      <c r="I336" s="33"/>
      <c r="J336" s="33"/>
      <c r="L336" s="33"/>
      <c r="M336" s="33"/>
      <c r="N336" s="33"/>
      <c r="O336" s="33"/>
    </row>
    <row r="337" spans="5:15" ht="16.5">
      <c r="E337" s="33"/>
      <c r="F337" s="34"/>
      <c r="G337" s="33"/>
      <c r="H337" s="33"/>
      <c r="I337" s="33"/>
      <c r="J337" s="33"/>
      <c r="L337" s="33"/>
      <c r="M337" s="33"/>
      <c r="N337" s="33"/>
      <c r="O337" s="33"/>
    </row>
    <row r="338" spans="5:15" ht="16.5">
      <c r="E338" s="33"/>
      <c r="F338" s="34"/>
      <c r="G338" s="33"/>
      <c r="H338" s="33"/>
      <c r="I338" s="33"/>
      <c r="J338" s="33"/>
      <c r="L338" s="33"/>
      <c r="M338" s="33"/>
      <c r="N338" s="33"/>
      <c r="O338" s="33"/>
    </row>
    <row r="339" spans="5:15" ht="16.5">
      <c r="E339" s="33"/>
      <c r="F339" s="34"/>
      <c r="G339" s="33"/>
      <c r="H339" s="33"/>
      <c r="I339" s="33"/>
      <c r="J339" s="33"/>
      <c r="L339" s="33"/>
      <c r="M339" s="33"/>
      <c r="N339" s="33"/>
      <c r="O339" s="33"/>
    </row>
    <row r="340" spans="5:15" ht="16.5">
      <c r="E340" s="33"/>
      <c r="F340" s="34"/>
      <c r="G340" s="33"/>
      <c r="H340" s="33"/>
      <c r="I340" s="33"/>
      <c r="J340" s="33"/>
      <c r="L340" s="33"/>
      <c r="M340" s="33"/>
      <c r="N340" s="33"/>
      <c r="O340" s="33"/>
    </row>
    <row r="341" spans="5:15" ht="16.5">
      <c r="E341" s="33"/>
      <c r="F341" s="34"/>
      <c r="G341" s="33"/>
      <c r="H341" s="33"/>
      <c r="I341" s="33"/>
      <c r="J341" s="33"/>
      <c r="L341" s="33"/>
      <c r="M341" s="33"/>
      <c r="N341" s="33"/>
      <c r="O341" s="33"/>
    </row>
    <row r="342" spans="5:15" ht="16.5">
      <c r="E342" s="33"/>
      <c r="F342" s="34"/>
      <c r="G342" s="33"/>
      <c r="H342" s="33"/>
      <c r="I342" s="33"/>
      <c r="J342" s="33"/>
      <c r="L342" s="33"/>
      <c r="M342" s="33"/>
      <c r="N342" s="33"/>
      <c r="O342" s="33"/>
    </row>
    <row r="343" spans="5:15" ht="16.5">
      <c r="E343" s="33"/>
      <c r="F343" s="34"/>
      <c r="G343" s="33"/>
      <c r="H343" s="33"/>
      <c r="I343" s="33"/>
      <c r="J343" s="33"/>
      <c r="L343" s="33"/>
      <c r="M343" s="33"/>
      <c r="N343" s="33"/>
      <c r="O343" s="33"/>
    </row>
    <row r="344" spans="5:15" ht="16.5">
      <c r="E344" s="33"/>
      <c r="F344" s="34"/>
      <c r="G344" s="33"/>
      <c r="H344" s="33"/>
      <c r="I344" s="33"/>
      <c r="J344" s="33"/>
      <c r="L344" s="33"/>
      <c r="M344" s="33"/>
      <c r="N344" s="33"/>
      <c r="O344" s="33"/>
    </row>
    <row r="345" spans="5:15" ht="16.5">
      <c r="E345" s="33"/>
      <c r="F345" s="34"/>
      <c r="G345" s="33"/>
      <c r="H345" s="33"/>
      <c r="I345" s="33"/>
      <c r="J345" s="33"/>
      <c r="L345" s="33"/>
      <c r="M345" s="33"/>
      <c r="N345" s="33"/>
      <c r="O345" s="33"/>
    </row>
    <row r="346" spans="5:15" ht="16.5">
      <c r="E346" s="33"/>
      <c r="F346" s="34"/>
      <c r="G346" s="33"/>
      <c r="H346" s="33"/>
      <c r="I346" s="33"/>
      <c r="J346" s="33"/>
      <c r="L346" s="33"/>
      <c r="M346" s="33"/>
      <c r="N346" s="33"/>
      <c r="O346" s="33"/>
    </row>
    <row r="347" spans="5:15" ht="16.5">
      <c r="E347" s="33"/>
      <c r="F347" s="34"/>
      <c r="G347" s="33"/>
      <c r="H347" s="33"/>
      <c r="I347" s="33"/>
      <c r="J347" s="33"/>
      <c r="L347" s="33"/>
      <c r="M347" s="33"/>
      <c r="N347" s="33"/>
      <c r="O347" s="33"/>
    </row>
    <row r="348" spans="5:15" ht="16.5">
      <c r="E348" s="33"/>
      <c r="F348" s="34"/>
      <c r="G348" s="33"/>
      <c r="H348" s="33"/>
      <c r="I348" s="33"/>
      <c r="J348" s="33"/>
      <c r="L348" s="33"/>
      <c r="M348" s="33"/>
      <c r="N348" s="33"/>
      <c r="O348" s="33"/>
    </row>
    <row r="349" spans="5:15" ht="16.5">
      <c r="E349" s="33"/>
      <c r="F349" s="34"/>
      <c r="G349" s="33"/>
      <c r="H349" s="33"/>
      <c r="I349" s="33"/>
      <c r="J349" s="33"/>
      <c r="L349" s="33"/>
      <c r="M349" s="33"/>
      <c r="N349" s="33"/>
      <c r="O349" s="33"/>
    </row>
    <row r="350" spans="5:15" ht="16.5">
      <c r="E350" s="33"/>
      <c r="F350" s="34"/>
      <c r="G350" s="33"/>
      <c r="H350" s="33"/>
      <c r="I350" s="33"/>
      <c r="J350" s="33"/>
      <c r="L350" s="33"/>
      <c r="M350" s="33"/>
      <c r="N350" s="33"/>
      <c r="O350" s="33"/>
    </row>
    <row r="351" spans="5:15" ht="16.5">
      <c r="E351" s="33"/>
      <c r="F351" s="34"/>
      <c r="G351" s="33"/>
      <c r="H351" s="33"/>
      <c r="I351" s="33"/>
      <c r="J351" s="33"/>
      <c r="L351" s="33"/>
      <c r="M351" s="33"/>
      <c r="N351" s="33"/>
      <c r="O351" s="33"/>
    </row>
    <row r="352" spans="5:15" ht="16.5">
      <c r="E352" s="33"/>
      <c r="F352" s="34"/>
      <c r="G352" s="33"/>
      <c r="H352" s="33"/>
      <c r="I352" s="33"/>
      <c r="J352" s="33"/>
      <c r="L352" s="33"/>
      <c r="M352" s="33"/>
      <c r="N352" s="33"/>
      <c r="O352" s="33"/>
    </row>
    <row r="353" spans="5:15" ht="16.5">
      <c r="E353" s="33"/>
      <c r="F353" s="34"/>
      <c r="G353" s="33"/>
      <c r="H353" s="33"/>
      <c r="I353" s="33"/>
      <c r="J353" s="33"/>
      <c r="L353" s="33"/>
      <c r="M353" s="33"/>
      <c r="N353" s="33"/>
      <c r="O353" s="33"/>
    </row>
    <row r="354" spans="5:15" ht="16.5">
      <c r="E354" s="33"/>
      <c r="F354" s="34"/>
      <c r="G354" s="33"/>
      <c r="H354" s="33"/>
      <c r="I354" s="33"/>
      <c r="J354" s="33"/>
      <c r="L354" s="33"/>
      <c r="M354" s="33"/>
      <c r="N354" s="33"/>
      <c r="O354" s="33"/>
    </row>
    <row r="355" spans="5:15" ht="16.5">
      <c r="E355" s="33"/>
      <c r="F355" s="34"/>
      <c r="G355" s="33"/>
      <c r="H355" s="33"/>
      <c r="I355" s="33"/>
      <c r="J355" s="33"/>
      <c r="L355" s="33"/>
      <c r="M355" s="33"/>
      <c r="N355" s="33"/>
      <c r="O355" s="33"/>
    </row>
    <row r="356" spans="5:15" ht="16.5">
      <c r="E356" s="33"/>
      <c r="F356" s="34"/>
      <c r="G356" s="33"/>
      <c r="H356" s="33"/>
      <c r="I356" s="33"/>
      <c r="J356" s="33"/>
      <c r="L356" s="33"/>
      <c r="M356" s="33"/>
      <c r="N356" s="33"/>
      <c r="O356" s="33"/>
    </row>
    <row r="357" spans="5:15" ht="16.5">
      <c r="E357" s="33"/>
      <c r="F357" s="34"/>
      <c r="G357" s="33"/>
      <c r="H357" s="33"/>
      <c r="I357" s="33"/>
      <c r="J357" s="33"/>
      <c r="L357" s="33"/>
      <c r="M357" s="33"/>
      <c r="N357" s="33"/>
      <c r="O357" s="33"/>
    </row>
    <row r="358" spans="5:15" ht="16.5">
      <c r="E358" s="33"/>
      <c r="F358" s="34"/>
      <c r="G358" s="33"/>
      <c r="H358" s="33"/>
      <c r="I358" s="33"/>
      <c r="J358" s="33"/>
      <c r="L358" s="33"/>
      <c r="M358" s="33"/>
      <c r="N358" s="33"/>
      <c r="O358" s="33"/>
    </row>
    <row r="359" spans="5:15" ht="16.5">
      <c r="E359" s="33"/>
      <c r="F359" s="34"/>
      <c r="G359" s="33"/>
      <c r="H359" s="33"/>
      <c r="I359" s="33"/>
      <c r="J359" s="33"/>
      <c r="L359" s="33"/>
      <c r="M359" s="33"/>
      <c r="N359" s="33"/>
      <c r="O359" s="33"/>
    </row>
    <row r="360" spans="5:15" ht="16.5">
      <c r="E360" s="33"/>
      <c r="F360" s="34"/>
      <c r="G360" s="33"/>
      <c r="H360" s="33"/>
      <c r="I360" s="33"/>
      <c r="J360" s="33"/>
      <c r="L360" s="33"/>
      <c r="M360" s="33"/>
      <c r="N360" s="33"/>
      <c r="O360" s="33"/>
    </row>
    <row r="361" spans="5:15" ht="16.5">
      <c r="E361" s="33"/>
      <c r="F361" s="34"/>
      <c r="G361" s="33"/>
      <c r="H361" s="33"/>
      <c r="I361" s="33"/>
      <c r="J361" s="33"/>
      <c r="L361" s="33"/>
      <c r="M361" s="33"/>
      <c r="N361" s="33"/>
      <c r="O361" s="33"/>
    </row>
    <row r="362" spans="5:15" ht="16.5">
      <c r="E362" s="33"/>
      <c r="F362" s="34"/>
      <c r="G362" s="33"/>
      <c r="H362" s="33"/>
      <c r="I362" s="33"/>
      <c r="J362" s="33"/>
      <c r="L362" s="33"/>
      <c r="M362" s="33"/>
      <c r="N362" s="33"/>
      <c r="O362" s="33"/>
    </row>
    <row r="363" spans="5:15" ht="16.5">
      <c r="E363" s="33"/>
      <c r="F363" s="34"/>
      <c r="G363" s="33"/>
      <c r="H363" s="33"/>
      <c r="I363" s="33"/>
      <c r="J363" s="33"/>
      <c r="L363" s="33"/>
      <c r="M363" s="33"/>
      <c r="N363" s="33"/>
      <c r="O363" s="33"/>
    </row>
    <row r="364" spans="5:15" ht="16.5">
      <c r="E364" s="33"/>
      <c r="F364" s="34"/>
      <c r="G364" s="33"/>
      <c r="H364" s="33"/>
      <c r="I364" s="33"/>
      <c r="J364" s="33"/>
      <c r="L364" s="33"/>
      <c r="M364" s="33"/>
      <c r="N364" s="33"/>
      <c r="O364" s="33"/>
    </row>
    <row r="365" spans="5:15" ht="16.5">
      <c r="E365" s="33"/>
      <c r="F365" s="34"/>
      <c r="G365" s="33"/>
      <c r="H365" s="33"/>
      <c r="I365" s="33"/>
      <c r="J365" s="33"/>
      <c r="L365" s="33"/>
      <c r="M365" s="33"/>
      <c r="N365" s="33"/>
      <c r="O365" s="33"/>
    </row>
    <row r="366" spans="5:15" ht="16.5">
      <c r="E366" s="33"/>
      <c r="F366" s="34"/>
      <c r="G366" s="33"/>
      <c r="H366" s="33"/>
      <c r="I366" s="33"/>
      <c r="J366" s="33"/>
      <c r="L366" s="33"/>
      <c r="M366" s="33"/>
      <c r="N366" s="33"/>
      <c r="O366" s="33"/>
    </row>
    <row r="367" spans="5:15" ht="16.5">
      <c r="E367" s="33"/>
      <c r="F367" s="34"/>
      <c r="G367" s="33"/>
      <c r="H367" s="33"/>
      <c r="I367" s="33"/>
      <c r="J367" s="33"/>
      <c r="L367" s="33"/>
      <c r="M367" s="33"/>
      <c r="N367" s="33"/>
      <c r="O367" s="33"/>
    </row>
    <row r="368" spans="5:15" ht="16.5">
      <c r="E368" s="33"/>
      <c r="F368" s="34"/>
      <c r="G368" s="33"/>
      <c r="H368" s="33"/>
      <c r="I368" s="33"/>
      <c r="J368" s="33"/>
      <c r="L368" s="33"/>
      <c r="M368" s="33"/>
      <c r="N368" s="33"/>
      <c r="O368" s="33"/>
    </row>
    <row r="369" spans="5:15" ht="16.5">
      <c r="E369" s="33"/>
      <c r="F369" s="34"/>
      <c r="G369" s="33"/>
      <c r="H369" s="33"/>
      <c r="I369" s="33"/>
      <c r="J369" s="33"/>
      <c r="L369" s="33"/>
      <c r="M369" s="33"/>
      <c r="N369" s="33"/>
      <c r="O369" s="33"/>
    </row>
    <row r="370" spans="5:15" ht="16.5">
      <c r="E370" s="33"/>
      <c r="F370" s="34"/>
      <c r="G370" s="33"/>
      <c r="H370" s="33"/>
      <c r="I370" s="33"/>
      <c r="J370" s="33"/>
      <c r="L370" s="33"/>
      <c r="M370" s="33"/>
      <c r="N370" s="33"/>
      <c r="O370" s="33"/>
    </row>
    <row r="371" spans="5:15" ht="16.5">
      <c r="E371" s="33"/>
      <c r="F371" s="34"/>
      <c r="G371" s="33"/>
      <c r="H371" s="33"/>
      <c r="I371" s="33"/>
      <c r="J371" s="33"/>
      <c r="L371" s="33"/>
      <c r="M371" s="33"/>
      <c r="N371" s="33"/>
      <c r="O371" s="33"/>
    </row>
    <row r="372" spans="5:15" ht="16.5">
      <c r="E372" s="33"/>
      <c r="F372" s="34"/>
      <c r="G372" s="33"/>
      <c r="H372" s="33"/>
      <c r="I372" s="33"/>
      <c r="J372" s="33"/>
      <c r="L372" s="33"/>
      <c r="M372" s="33"/>
      <c r="N372" s="33"/>
      <c r="O372" s="33"/>
    </row>
    <row r="373" spans="5:15" ht="16.5">
      <c r="E373" s="33"/>
      <c r="F373" s="34"/>
      <c r="G373" s="33"/>
      <c r="H373" s="33"/>
      <c r="I373" s="33"/>
      <c r="J373" s="33"/>
      <c r="L373" s="33"/>
      <c r="M373" s="33"/>
      <c r="N373" s="33"/>
      <c r="O373" s="33"/>
    </row>
    <row r="374" spans="5:15" ht="16.5">
      <c r="E374" s="33"/>
      <c r="F374" s="34"/>
      <c r="G374" s="33"/>
      <c r="H374" s="33"/>
      <c r="I374" s="33"/>
      <c r="J374" s="33"/>
      <c r="L374" s="33"/>
      <c r="M374" s="33"/>
      <c r="N374" s="33"/>
      <c r="O374" s="33"/>
    </row>
  </sheetData>
  <mergeCells count="34">
    <mergeCell ref="A9:C9"/>
    <mergeCell ref="A10:C10"/>
    <mergeCell ref="A5:C5"/>
    <mergeCell ref="A6:C6"/>
    <mergeCell ref="A7:C7"/>
    <mergeCell ref="A8:C8"/>
    <mergeCell ref="A22:C22"/>
    <mergeCell ref="A23:C23"/>
    <mergeCell ref="A24:C24"/>
    <mergeCell ref="H19:J20"/>
    <mergeCell ref="A29:C29"/>
    <mergeCell ref="A26:C26"/>
    <mergeCell ref="A27:C27"/>
    <mergeCell ref="A25:C25"/>
    <mergeCell ref="A13:C13"/>
    <mergeCell ref="A14:C14"/>
    <mergeCell ref="A20:C20"/>
    <mergeCell ref="A21:C21"/>
    <mergeCell ref="A15:C15"/>
    <mergeCell ref="A17:C17"/>
    <mergeCell ref="A30:C30"/>
    <mergeCell ref="P35:Q35"/>
    <mergeCell ref="A32:C32"/>
    <mergeCell ref="A33:C33"/>
    <mergeCell ref="AD38:AH38"/>
    <mergeCell ref="A34:C34"/>
    <mergeCell ref="A35:C35"/>
    <mergeCell ref="A38:E38"/>
    <mergeCell ref="T38:X38"/>
    <mergeCell ref="Y38:AC38"/>
    <mergeCell ref="F38:J38"/>
    <mergeCell ref="T37:AC37"/>
    <mergeCell ref="K38:P38"/>
    <mergeCell ref="P34:Q3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r:id="rId5"/>
  <headerFooter alignWithMargins="0">
    <oddFooter>&amp;L&amp;8MNW file &amp;F, sheet&amp;A&amp;C&amp;8&amp;P&amp;R&amp;8printed at &amp;T on &amp;D</oddFooter>
  </headerFooter>
  <drawing r:id="rId4"/>
  <legacyDrawing r:id="rId3"/>
  <oleObjects>
    <oleObject progId="Mathcad" shapeId="8002950" r:id="rId1"/>
    <oleObject progId="Equation.3" shapeId="80029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2004-06-21T04:35:05Z</cp:lastPrinted>
  <dcterms:created xsi:type="dcterms:W3CDTF">1999-02-19T18:19:08Z</dcterms:created>
  <dcterms:modified xsi:type="dcterms:W3CDTF">2004-11-12T16:05:07Z</dcterms:modified>
  <cp:category/>
  <cp:version/>
  <cp:contentType/>
  <cp:contentStatus/>
</cp:coreProperties>
</file>