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46" windowWidth="8010" windowHeight="8595" activeTab="0"/>
  </bookViews>
  <sheets>
    <sheet name="001SSNH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<sst xmlns="http://schemas.openxmlformats.org/spreadsheetml/2006/main" count="161" uniqueCount="141">
  <si>
    <t>crossover transverse loss</t>
  </si>
  <si>
    <t>adjacent transverse loss</t>
  </si>
  <si>
    <t>adjacent parallel loss</t>
  </si>
  <si>
    <t>hysteresis loss</t>
  </si>
  <si>
    <t>cable half width a</t>
  </si>
  <si>
    <t>cable half thickness b</t>
  </si>
  <si>
    <t>cable twist pitch</t>
  </si>
  <si>
    <t>a</t>
  </si>
  <si>
    <t>b</t>
  </si>
  <si>
    <t>p</t>
  </si>
  <si>
    <t>filament coupling loss</t>
  </si>
  <si>
    <t>crossover resistance</t>
  </si>
  <si>
    <t>Rc</t>
  </si>
  <si>
    <t>m</t>
  </si>
  <si>
    <t>ohm</t>
  </si>
  <si>
    <t>number of strands</t>
  </si>
  <si>
    <t>N</t>
  </si>
  <si>
    <t>adjacent resistance</t>
  </si>
  <si>
    <t>Ra</t>
  </si>
  <si>
    <t>crossover resistance. area</t>
  </si>
  <si>
    <t>rc</t>
  </si>
  <si>
    <t>adjacent resistance. area</t>
  </si>
  <si>
    <t>ra</t>
  </si>
  <si>
    <t>ohm.m</t>
  </si>
  <si>
    <t>effective longitudinal resistivity</t>
  </si>
  <si>
    <t>ohm.m^2</t>
  </si>
  <si>
    <t>permeability fs</t>
  </si>
  <si>
    <t>henry/m</t>
  </si>
  <si>
    <t>t</t>
  </si>
  <si>
    <t>sec</t>
  </si>
  <si>
    <t xml:space="preserve">    </t>
  </si>
  <si>
    <t>cable filling factor</t>
  </si>
  <si>
    <t>wire filling factor</t>
  </si>
  <si>
    <t>lw</t>
  </si>
  <si>
    <t>filament filling factor</t>
  </si>
  <si>
    <t>Tesla</t>
  </si>
  <si>
    <t>computed aperture field</t>
  </si>
  <si>
    <t>f</t>
  </si>
  <si>
    <t>ramp time</t>
  </si>
  <si>
    <t>angle</t>
  </si>
  <si>
    <t>B trans</t>
  </si>
  <si>
    <t>G trans</t>
  </si>
  <si>
    <t>B parl</t>
  </si>
  <si>
    <t>B` trans</t>
  </si>
  <si>
    <t>Bmod</t>
  </si>
  <si>
    <t>Ptc</t>
  </si>
  <si>
    <t>Pta</t>
  </si>
  <si>
    <t>Pp</t>
  </si>
  <si>
    <t>Pf</t>
  </si>
  <si>
    <t>filament diameter</t>
  </si>
  <si>
    <t>df</t>
  </si>
  <si>
    <t>m^2</t>
  </si>
  <si>
    <t>actual field ramp rates</t>
  </si>
  <si>
    <t>G` trans</t>
  </si>
  <si>
    <t>B` parl</t>
  </si>
  <si>
    <t>B`mod</t>
  </si>
  <si>
    <t xml:space="preserve">Kim Anderson </t>
  </si>
  <si>
    <t>A/m^2</t>
  </si>
  <si>
    <t>components of loss</t>
  </si>
  <si>
    <t>Ps</t>
  </si>
  <si>
    <t>sum</t>
  </si>
  <si>
    <t>loss</t>
  </si>
  <si>
    <t>degree</t>
  </si>
  <si>
    <t>Pd</t>
  </si>
  <si>
    <t>loss / m /</t>
  </si>
  <si>
    <t>Block limits for integration</t>
  </si>
  <si>
    <t>block</t>
  </si>
  <si>
    <t>watts</t>
  </si>
  <si>
    <t>Totals</t>
  </si>
  <si>
    <t>% of total</t>
  </si>
  <si>
    <t>wire transverse resistivity</t>
  </si>
  <si>
    <t>wire twist pitch</t>
  </si>
  <si>
    <t>pw</t>
  </si>
  <si>
    <t>wire coupling time const</t>
  </si>
  <si>
    <t xml:space="preserve"> dc fields as computed at centre of cable</t>
  </si>
  <si>
    <t>A/m^2/T</t>
  </si>
  <si>
    <t>Bap</t>
  </si>
  <si>
    <t>Bcomp</t>
  </si>
  <si>
    <t>metre</t>
  </si>
  <si>
    <t>transverse crossover loss / total =</t>
  </si>
  <si>
    <t>transverse adjacent loss / total =</t>
  </si>
  <si>
    <t>parallel loss / total =</t>
  </si>
  <si>
    <t>filament coupling loss / total =</t>
  </si>
  <si>
    <t>length of magnet =</t>
  </si>
  <si>
    <t>hysteresis loss / total =</t>
  </si>
  <si>
    <t>ramp rate</t>
  </si>
  <si>
    <t>T/s</t>
  </si>
  <si>
    <t>B`</t>
  </si>
  <si>
    <t>turn area per degree =</t>
  </si>
  <si>
    <t>injection time</t>
  </si>
  <si>
    <t>Ti</t>
  </si>
  <si>
    <t>extraction time</t>
  </si>
  <si>
    <t>cycle time =</t>
  </si>
  <si>
    <t>Te</t>
  </si>
  <si>
    <t>Tr</t>
  </si>
  <si>
    <t>time averaged loss / magnet =</t>
  </si>
  <si>
    <t>ramping total loss / metre / quadrant =</t>
  </si>
  <si>
    <t>ramping total loss / magnet =</t>
  </si>
  <si>
    <t>extraction aperture field</t>
  </si>
  <si>
    <t>maximum =</t>
  </si>
  <si>
    <r>
      <t>r</t>
    </r>
    <r>
      <rPr>
        <sz val="11"/>
        <rFont val="Arial Narrow"/>
        <family val="2"/>
      </rPr>
      <t>x</t>
    </r>
  </si>
  <si>
    <r>
      <t>m</t>
    </r>
    <r>
      <rPr>
        <sz val="11"/>
        <rFont val="Arial Narrow"/>
        <family val="2"/>
      </rPr>
      <t>o</t>
    </r>
  </si>
  <si>
    <r>
      <t>l</t>
    </r>
    <r>
      <rPr>
        <sz val="11"/>
        <rFont val="Arial Narrow"/>
        <family val="2"/>
      </rPr>
      <t>c</t>
    </r>
  </si>
  <si>
    <r>
      <t>l</t>
    </r>
    <r>
      <rPr>
        <sz val="11"/>
        <rFont val="Arial"/>
        <family val="2"/>
      </rPr>
      <t>f</t>
    </r>
  </si>
  <si>
    <r>
      <t>r</t>
    </r>
    <r>
      <rPr>
        <sz val="11"/>
        <rFont val="Arial"/>
        <family val="2"/>
      </rPr>
      <t>t</t>
    </r>
  </si>
  <si>
    <r>
      <t>J</t>
    </r>
    <r>
      <rPr>
        <vertAlign val="subscript"/>
        <sz val="11"/>
        <rFont val="Arial"/>
        <family val="2"/>
      </rPr>
      <t>o</t>
    </r>
  </si>
  <si>
    <r>
      <t>B</t>
    </r>
    <r>
      <rPr>
        <vertAlign val="subscript"/>
        <sz val="11"/>
        <rFont val="Arial"/>
        <family val="2"/>
      </rPr>
      <t>o</t>
    </r>
  </si>
  <si>
    <r>
      <t>min</t>
    </r>
    <r>
      <rPr>
        <sz val="11"/>
        <rFont val="Symbol"/>
        <family val="1"/>
      </rPr>
      <t xml:space="preserve"> f</t>
    </r>
  </si>
  <si>
    <r>
      <t>max</t>
    </r>
    <r>
      <rPr>
        <sz val="11"/>
        <rFont val="Symbol"/>
        <family val="1"/>
      </rPr>
      <t xml:space="preserve"> f</t>
    </r>
  </si>
  <si>
    <r>
      <t>A</t>
    </r>
    <r>
      <rPr>
        <vertAlign val="subscript"/>
        <sz val="11"/>
        <rFont val="Arial"/>
        <family val="2"/>
      </rPr>
      <t>0</t>
    </r>
  </si>
  <si>
    <r>
      <t>A</t>
    </r>
    <r>
      <rPr>
        <vertAlign val="subscript"/>
        <sz val="11"/>
        <rFont val="Arial"/>
        <family val="2"/>
      </rPr>
      <t>1</t>
    </r>
  </si>
  <si>
    <t>ramp ratio Bi / Be</t>
  </si>
  <si>
    <t>ramping/average factor</t>
  </si>
  <si>
    <t>cooking factor transverse</t>
  </si>
  <si>
    <t>ft</t>
  </si>
  <si>
    <t>fp</t>
  </si>
  <si>
    <t>fh</t>
  </si>
  <si>
    <t>cooking factor parallel</t>
  </si>
  <si>
    <t>cooking factor hysteresis</t>
  </si>
  <si>
    <t>includes proximity magnetization and new loss formulae as per MT-17</t>
  </si>
  <si>
    <t>matrix ratio</t>
  </si>
  <si>
    <t>mat</t>
  </si>
  <si>
    <t>proximity loss</t>
  </si>
  <si>
    <t>calculate hysteresis &amp; proximity loss at 5 points in the cable</t>
  </si>
  <si>
    <t>ramping total loss / metre / 360deg =</t>
  </si>
  <si>
    <t>Hysteresis detail</t>
  </si>
  <si>
    <t>fields in 5 sections of cable</t>
  </si>
  <si>
    <t>Hyst loss powers in 5 sections of cable</t>
  </si>
  <si>
    <t>Ph mean</t>
  </si>
  <si>
    <t>B1</t>
  </si>
  <si>
    <t>B2</t>
  </si>
  <si>
    <t>B3</t>
  </si>
  <si>
    <t>B4</t>
  </si>
  <si>
    <t>B5</t>
  </si>
  <si>
    <t>Ph1</t>
  </si>
  <si>
    <t>Ph2</t>
  </si>
  <si>
    <t>Ph3</t>
  </si>
  <si>
    <t>Ph4</t>
  </si>
  <si>
    <t>Ph5</t>
  </si>
  <si>
    <t>2.9 micron filaments without proximity loss</t>
  </si>
  <si>
    <t xml:space="preserve">Appendix 5-2: Losses in dipole with cycle 5 and cable 001SSNHT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</si>
</sst>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E+00"/>
    <numFmt numFmtId="167" formatCode="0.0%"/>
    <numFmt numFmtId="168" formatCode="0.0"/>
    <numFmt numFmtId="169" formatCode="0.E+00"/>
  </numFmts>
  <fonts count="9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1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1" fontId="6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57275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714500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076325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4" name="Rectangle 9"/>
        <xdr:cNvSpPr>
          <a:spLocks/>
        </xdr:cNvSpPr>
      </xdr:nvSpPr>
      <xdr:spPr>
        <a:xfrm>
          <a:off x="3295650" y="4343400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>
          <a:off x="3514725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6" name="Line 11"/>
        <xdr:cNvSpPr>
          <a:spLocks/>
        </xdr:cNvSpPr>
      </xdr:nvSpPr>
      <xdr:spPr>
        <a:xfrm>
          <a:off x="4143375" y="4352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>
          <a:off x="3857625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8" name="Line 13"/>
        <xdr:cNvSpPr>
          <a:spLocks/>
        </xdr:cNvSpPr>
      </xdr:nvSpPr>
      <xdr:spPr>
        <a:xfrm flipH="1">
          <a:off x="4400550" y="4352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9" name="TextBox 14"/>
        <xdr:cNvSpPr txBox="1">
          <a:spLocks noChangeArrowheads="1"/>
        </xdr:cNvSpPr>
      </xdr:nvSpPr>
      <xdr:spPr>
        <a:xfrm>
          <a:off x="3676650" y="40005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3695700" y="4276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104775</xdr:rowOff>
    </xdr:from>
    <xdr:ext cx="314325" cy="200025"/>
    <xdr:sp>
      <xdr:nvSpPr>
        <xdr:cNvPr id="11" name="TextBox 16"/>
        <xdr:cNvSpPr txBox="1">
          <a:spLocks noChangeArrowheads="1"/>
        </xdr:cNvSpPr>
      </xdr:nvSpPr>
      <xdr:spPr>
        <a:xfrm>
          <a:off x="3657600" y="4695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2" name="Line 17"/>
        <xdr:cNvSpPr>
          <a:spLocks/>
        </xdr:cNvSpPr>
      </xdr:nvSpPr>
      <xdr:spPr>
        <a:xfrm>
          <a:off x="3390900" y="4667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16</xdr:row>
      <xdr:rowOff>200025</xdr:rowOff>
    </xdr:from>
    <xdr:to>
      <xdr:col>12</xdr:col>
      <xdr:colOff>523875</xdr:colOff>
      <xdr:row>19</xdr:row>
      <xdr:rowOff>9525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3505200"/>
          <a:ext cx="2209800" cy="438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14</xdr:row>
      <xdr:rowOff>0</xdr:rowOff>
    </xdr:from>
    <xdr:to>
      <xdr:col>15</xdr:col>
      <xdr:colOff>447675</xdr:colOff>
      <xdr:row>16</xdr:row>
      <xdr:rowOff>28575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886075"/>
          <a:ext cx="4419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2000\Consult\GSI\Reports\Rep%201\App%201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data\C%202000\Consult\GSI\Reports\Rep%201\App%201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xy to Brf"/>
      <sheetName val="angle"/>
      <sheetName val="Bf"/>
      <sheetName val="Br"/>
      <sheetName val="coil geom 2"/>
    </sheetNames>
    <sheetDataSet>
      <sheetData sheetId="4">
        <row r="16">
          <cell r="B16">
            <v>15.673373548625944</v>
          </cell>
          <cell r="C16">
            <v>17.081863443783423</v>
          </cell>
          <cell r="D16">
            <v>36.23820889210402</v>
          </cell>
          <cell r="E16">
            <v>41.284249216564326</v>
          </cell>
          <cell r="F16">
            <v>55.21613681534294</v>
          </cell>
          <cell r="G16">
            <v>66.20526072708387</v>
          </cell>
          <cell r="H16">
            <v>73.17120452647318</v>
          </cell>
        </row>
        <row r="20">
          <cell r="B20">
            <v>7.888866402398716E-06</v>
          </cell>
        </row>
        <row r="24">
          <cell r="A24">
            <v>0</v>
          </cell>
        </row>
        <row r="25">
          <cell r="A25">
            <v>1</v>
          </cell>
        </row>
        <row r="26">
          <cell r="A26">
            <v>2</v>
          </cell>
        </row>
        <row r="27">
          <cell r="A27">
            <v>3</v>
          </cell>
        </row>
        <row r="28">
          <cell r="A28">
            <v>4</v>
          </cell>
        </row>
        <row r="29">
          <cell r="A29">
            <v>5</v>
          </cell>
        </row>
        <row r="30">
          <cell r="A30">
            <v>6</v>
          </cell>
        </row>
        <row r="31">
          <cell r="A31">
            <v>7</v>
          </cell>
        </row>
        <row r="32">
          <cell r="A32">
            <v>8</v>
          </cell>
        </row>
        <row r="33">
          <cell r="A33">
            <v>9</v>
          </cell>
        </row>
        <row r="34">
          <cell r="A34">
            <v>10</v>
          </cell>
        </row>
        <row r="35">
          <cell r="A35">
            <v>11</v>
          </cell>
        </row>
        <row r="36">
          <cell r="A36">
            <v>12</v>
          </cell>
        </row>
        <row r="37">
          <cell r="A37">
            <v>13</v>
          </cell>
        </row>
        <row r="38">
          <cell r="A38">
            <v>14</v>
          </cell>
        </row>
        <row r="42">
          <cell r="A42">
            <v>18</v>
          </cell>
        </row>
        <row r="43">
          <cell r="A43">
            <v>19</v>
          </cell>
        </row>
        <row r="44">
          <cell r="A44">
            <v>20</v>
          </cell>
        </row>
        <row r="45">
          <cell r="A45">
            <v>21</v>
          </cell>
        </row>
        <row r="46">
          <cell r="A46">
            <v>22</v>
          </cell>
        </row>
        <row r="47">
          <cell r="A47">
            <v>23</v>
          </cell>
        </row>
        <row r="48">
          <cell r="A48">
            <v>24</v>
          </cell>
        </row>
        <row r="49">
          <cell r="A49">
            <v>25</v>
          </cell>
        </row>
        <row r="50">
          <cell r="A50">
            <v>26</v>
          </cell>
        </row>
        <row r="51">
          <cell r="A51">
            <v>27</v>
          </cell>
        </row>
        <row r="52">
          <cell r="A52">
            <v>28</v>
          </cell>
        </row>
        <row r="53">
          <cell r="A53">
            <v>29</v>
          </cell>
        </row>
        <row r="54">
          <cell r="A54">
            <v>30</v>
          </cell>
        </row>
        <row r="55">
          <cell r="A55">
            <v>31</v>
          </cell>
        </row>
        <row r="56">
          <cell r="A56">
            <v>32</v>
          </cell>
        </row>
        <row r="57">
          <cell r="A57">
            <v>33</v>
          </cell>
        </row>
        <row r="58">
          <cell r="A58">
            <v>34</v>
          </cell>
        </row>
        <row r="59">
          <cell r="A59">
            <v>35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44</v>
          </cell>
        </row>
        <row r="66">
          <cell r="A66">
            <v>45</v>
          </cell>
        </row>
        <row r="67">
          <cell r="A67">
            <v>46</v>
          </cell>
        </row>
        <row r="68">
          <cell r="A68">
            <v>47</v>
          </cell>
        </row>
        <row r="69">
          <cell r="A69">
            <v>48</v>
          </cell>
        </row>
        <row r="70">
          <cell r="A70">
            <v>49</v>
          </cell>
        </row>
        <row r="71">
          <cell r="A71">
            <v>50</v>
          </cell>
        </row>
        <row r="72">
          <cell r="A72">
            <v>51</v>
          </cell>
        </row>
        <row r="73">
          <cell r="A73">
            <v>52</v>
          </cell>
        </row>
        <row r="74">
          <cell r="A74">
            <v>53</v>
          </cell>
        </row>
        <row r="75">
          <cell r="A75">
            <v>54</v>
          </cell>
        </row>
        <row r="79">
          <cell r="A79">
            <v>67</v>
          </cell>
        </row>
        <row r="80">
          <cell r="A80">
            <v>68</v>
          </cell>
        </row>
        <row r="81">
          <cell r="A81">
            <v>69</v>
          </cell>
        </row>
        <row r="82">
          <cell r="A82">
            <v>70</v>
          </cell>
        </row>
        <row r="83">
          <cell r="A83">
            <v>71</v>
          </cell>
        </row>
        <row r="84">
          <cell r="A84">
            <v>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xy to Brf"/>
      <sheetName val="angle"/>
      <sheetName val="Bf"/>
      <sheetName val="Br"/>
      <sheetName val="coil geom 2"/>
    </sheetNames>
    <sheetDataSet>
      <sheetData sheetId="2">
        <row r="6">
          <cell r="O6">
            <v>244.26680129999903</v>
          </cell>
          <cell r="P6">
            <v>-0.8219977069090909</v>
          </cell>
        </row>
        <row r="7">
          <cell r="O7">
            <v>246.64712192512508</v>
          </cell>
          <cell r="P7">
            <v>-0.8217296287421121</v>
          </cell>
        </row>
        <row r="8">
          <cell r="O8">
            <v>247.8761242952973</v>
          </cell>
          <cell r="P8">
            <v>-0.821585611225844</v>
          </cell>
        </row>
        <row r="9">
          <cell r="O9">
            <v>248.61971105177216</v>
          </cell>
          <cell r="P9">
            <v>-0.8208176406045933</v>
          </cell>
        </row>
        <row r="10">
          <cell r="O10">
            <v>249.01848455721432</v>
          </cell>
          <cell r="P10">
            <v>-0.8198187393907777</v>
          </cell>
        </row>
        <row r="11">
          <cell r="O11">
            <v>249.07833636928586</v>
          </cell>
          <cell r="P11">
            <v>-0.8183791186552796</v>
          </cell>
        </row>
        <row r="12">
          <cell r="O12">
            <v>248.9262978938888</v>
          </cell>
          <cell r="P12">
            <v>-0.8165897522528507</v>
          </cell>
        </row>
        <row r="13">
          <cell r="O13">
            <v>248.45779899296454</v>
          </cell>
          <cell r="P13">
            <v>-0.814521089821648</v>
          </cell>
        </row>
        <row r="14">
          <cell r="O14">
            <v>247.71187929577997</v>
          </cell>
          <cell r="P14">
            <v>-0.811908099555227</v>
          </cell>
        </row>
        <row r="15">
          <cell r="O15">
            <v>246.684348194236</v>
          </cell>
          <cell r="P15">
            <v>-0.808983216110299</v>
          </cell>
        </row>
        <row r="16">
          <cell r="O16">
            <v>245.26913205326798</v>
          </cell>
          <cell r="P16">
            <v>-0.805486638655367</v>
          </cell>
        </row>
        <row r="17">
          <cell r="O17">
            <v>243.52097485084414</v>
          </cell>
          <cell r="P17">
            <v>-0.8015244467186982</v>
          </cell>
        </row>
        <row r="18">
          <cell r="O18">
            <v>241.13815804634072</v>
          </cell>
          <cell r="P18">
            <v>-0.7970047609221869</v>
          </cell>
        </row>
        <row r="19">
          <cell r="O19">
            <v>238.16823057209103</v>
          </cell>
          <cell r="P19">
            <v>-0.7918310116276626</v>
          </cell>
        </row>
        <row r="20">
          <cell r="O20">
            <v>234.15578260976827</v>
          </cell>
          <cell r="P20">
            <v>-0.7860744857851696</v>
          </cell>
        </row>
        <row r="21">
          <cell r="O21">
            <v>228.70524440167958</v>
          </cell>
          <cell r="P21">
            <v>-0.7797235727397585</v>
          </cell>
        </row>
        <row r="23">
          <cell r="O23">
            <v>221.1340494294688</v>
          </cell>
          <cell r="P23">
            <v>-0.7697157603408762</v>
          </cell>
        </row>
        <row r="24">
          <cell r="O24">
            <v>227.4487999096361</v>
          </cell>
          <cell r="P24">
            <v>-0.7688376834784396</v>
          </cell>
        </row>
        <row r="25">
          <cell r="O25">
            <v>231.74178888809186</v>
          </cell>
          <cell r="P25">
            <v>-0.7670354695833996</v>
          </cell>
        </row>
        <row r="26">
          <cell r="O26">
            <v>234.49299316708385</v>
          </cell>
          <cell r="P26">
            <v>-0.7645686420397677</v>
          </cell>
        </row>
        <row r="27">
          <cell r="O27">
            <v>236.30574107714503</v>
          </cell>
          <cell r="P27">
            <v>-0.7616067160810989</v>
          </cell>
        </row>
        <row r="28">
          <cell r="O28">
            <v>237.4021344915991</v>
          </cell>
          <cell r="P28">
            <v>-0.7579205845403099</v>
          </cell>
        </row>
        <row r="29">
          <cell r="O29">
            <v>237.89539745988625</v>
          </cell>
          <cell r="P29">
            <v>-0.7536309780371777</v>
          </cell>
        </row>
        <row r="30">
          <cell r="O30">
            <v>237.88242897712766</v>
          </cell>
          <cell r="P30">
            <v>-0.7488749448917655</v>
          </cell>
        </row>
        <row r="31">
          <cell r="O31">
            <v>237.38808390302393</v>
          </cell>
          <cell r="P31">
            <v>-0.7435059454395301</v>
          </cell>
        </row>
        <row r="32">
          <cell r="O32">
            <v>236.44602626135057</v>
          </cell>
          <cell r="P32">
            <v>-0.7379026729240881</v>
          </cell>
        </row>
        <row r="33">
          <cell r="O33">
            <v>235.02302523518713</v>
          </cell>
          <cell r="P33">
            <v>-0.7316515309435765</v>
          </cell>
        </row>
        <row r="34">
          <cell r="O34">
            <v>233.10995497958777</v>
          </cell>
          <cell r="P34">
            <v>-0.725054795017682</v>
          </cell>
        </row>
        <row r="35">
          <cell r="O35">
            <v>230.61392478009316</v>
          </cell>
          <cell r="P35">
            <v>-0.7179155992224899</v>
          </cell>
        </row>
        <row r="36">
          <cell r="O36">
            <v>227.50587821073148</v>
          </cell>
          <cell r="P36">
            <v>-0.7102502150156997</v>
          </cell>
        </row>
        <row r="37">
          <cell r="O37">
            <v>223.56423801738163</v>
          </cell>
          <cell r="P37">
            <v>-0.7022009474414048</v>
          </cell>
        </row>
        <row r="38">
          <cell r="O38">
            <v>218.6426703280376</v>
          </cell>
          <cell r="P38">
            <v>-0.6934456903989243</v>
          </cell>
        </row>
        <row r="39">
          <cell r="O39">
            <v>212.54789818753315</v>
          </cell>
          <cell r="P39">
            <v>-0.68417335829729</v>
          </cell>
        </row>
        <row r="40">
          <cell r="O40">
            <v>204.83970364331694</v>
          </cell>
          <cell r="P40">
            <v>-0.6739838818223287</v>
          </cell>
        </row>
        <row r="41">
          <cell r="O41">
            <v>195.01696203664585</v>
          </cell>
          <cell r="P41">
            <v>-0.6632441842624921</v>
          </cell>
        </row>
        <row r="42">
          <cell r="O42">
            <v>181.6577317804412</v>
          </cell>
          <cell r="P42">
            <v>-0.6526372462371004</v>
          </cell>
        </row>
        <row r="47">
          <cell r="O47">
            <v>165.1876539783805</v>
          </cell>
          <cell r="P47">
            <v>-0.6091989960299014</v>
          </cell>
        </row>
        <row r="48">
          <cell r="O48">
            <v>178.0405812419791</v>
          </cell>
          <cell r="P48">
            <v>-0.6036062565672307</v>
          </cell>
        </row>
        <row r="49">
          <cell r="O49">
            <v>186.95603637908826</v>
          </cell>
          <cell r="P49">
            <v>-0.5973385358568848</v>
          </cell>
        </row>
        <row r="50">
          <cell r="O50">
            <v>192.78678151772814</v>
          </cell>
          <cell r="P50">
            <v>-0.5899700995025388</v>
          </cell>
        </row>
        <row r="51">
          <cell r="O51">
            <v>196.4470854530454</v>
          </cell>
          <cell r="P51">
            <v>-0.5820132667816189</v>
          </cell>
        </row>
        <row r="52">
          <cell r="O52">
            <v>198.3951260814957</v>
          </cell>
          <cell r="P52">
            <v>-0.5731696417058778</v>
          </cell>
        </row>
        <row r="53">
          <cell r="O53">
            <v>198.77989350058206</v>
          </cell>
          <cell r="P53">
            <v>-0.5638422032320918</v>
          </cell>
        </row>
        <row r="54">
          <cell r="O54">
            <v>197.80678894011174</v>
          </cell>
          <cell r="P54">
            <v>-0.553885694261746</v>
          </cell>
        </row>
        <row r="55">
          <cell r="O55">
            <v>195.4771629223311</v>
          </cell>
          <cell r="P55">
            <v>-0.5431440402046857</v>
          </cell>
        </row>
        <row r="56">
          <cell r="O56">
            <v>191.67859495808676</v>
          </cell>
          <cell r="P56">
            <v>-0.5318523069431151</v>
          </cell>
        </row>
        <row r="57">
          <cell r="O57">
            <v>186.28593034491297</v>
          </cell>
          <cell r="P57">
            <v>-0.5197396600150359</v>
          </cell>
        </row>
        <row r="58">
          <cell r="O58">
            <v>179.04529282170077</v>
          </cell>
          <cell r="P58">
            <v>-0.507115608884023</v>
          </cell>
        </row>
        <row r="59">
          <cell r="O59">
            <v>169.5704965161943</v>
          </cell>
          <cell r="P59">
            <v>-0.4933396757856654</v>
          </cell>
        </row>
        <row r="60">
          <cell r="O60">
            <v>157.24990032700651</v>
          </cell>
          <cell r="P60">
            <v>-0.4787903408554657</v>
          </cell>
        </row>
        <row r="61">
          <cell r="O61">
            <v>140.2893426549694</v>
          </cell>
          <cell r="P61">
            <v>-0.4635021370273096</v>
          </cell>
        </row>
        <row r="72">
          <cell r="O72">
            <v>103.8678988060364</v>
          </cell>
          <cell r="P72">
            <v>-0.3268494801752908</v>
          </cell>
        </row>
        <row r="73">
          <cell r="O73">
            <v>116.97068031077002</v>
          </cell>
          <cell r="P73">
            <v>-0.3163960523853646</v>
          </cell>
        </row>
        <row r="74">
          <cell r="O74">
            <v>124.38540401609183</v>
          </cell>
          <cell r="P74">
            <v>-0.3060447855019479</v>
          </cell>
        </row>
        <row r="75">
          <cell r="O75">
            <v>126.9506343646594</v>
          </cell>
          <cell r="P75">
            <v>-0.29536781640040477</v>
          </cell>
        </row>
        <row r="76">
          <cell r="O76">
            <v>125.64999275201042</v>
          </cell>
          <cell r="P76">
            <v>-0.2833675986125561</v>
          </cell>
        </row>
        <row r="77">
          <cell r="O77">
            <v>120.61920848467275</v>
          </cell>
          <cell r="P77">
            <v>-0.2699889150048618</v>
          </cell>
        </row>
        <row r="78">
          <cell r="O78">
            <v>111.28668841819632</v>
          </cell>
          <cell r="P78">
            <v>-0.25583793143957845</v>
          </cell>
        </row>
        <row r="79">
          <cell r="O79">
            <v>96.65180988093557</v>
          </cell>
          <cell r="P79">
            <v>-0.24045827362357386</v>
          </cell>
        </row>
      </sheetData>
      <sheetData sheetId="3">
        <row r="6">
          <cell r="M6">
            <v>-7.829455454545454E-06</v>
          </cell>
        </row>
        <row r="7">
          <cell r="M7">
            <v>-0.004352904612639874</v>
          </cell>
        </row>
        <row r="8">
          <cell r="M8">
            <v>-0.04666387906774721</v>
          </cell>
        </row>
        <row r="9">
          <cell r="M9">
            <v>-0.08816510333209439</v>
          </cell>
        </row>
        <row r="10">
          <cell r="M10">
            <v>-0.12932473383011736</v>
          </cell>
        </row>
        <row r="11">
          <cell r="M11">
            <v>-0.17029335958175434</v>
          </cell>
        </row>
        <row r="12">
          <cell r="M12">
            <v>-0.21129872517543874</v>
          </cell>
        </row>
        <row r="13">
          <cell r="M13">
            <v>-0.25243209734431343</v>
          </cell>
        </row>
        <row r="14">
          <cell r="M14">
            <v>-0.2939766016246563</v>
          </cell>
        </row>
        <row r="15">
          <cell r="M15">
            <v>-0.3360578703147423</v>
          </cell>
        </row>
        <row r="16">
          <cell r="M16">
            <v>-0.3788205015613247</v>
          </cell>
        </row>
        <row r="17">
          <cell r="M17">
            <v>-0.42258181905155917</v>
          </cell>
        </row>
        <row r="18">
          <cell r="M18">
            <v>-0.4676103714250752</v>
          </cell>
        </row>
        <row r="19">
          <cell r="M19">
            <v>-0.5142884104791888</v>
          </cell>
        </row>
        <row r="20">
          <cell r="M20">
            <v>-0.5627596874814667</v>
          </cell>
        </row>
        <row r="21">
          <cell r="M21">
            <v>-0.6155142377819834</v>
          </cell>
        </row>
        <row r="23">
          <cell r="M23">
            <v>-0.471884695094082</v>
          </cell>
        </row>
        <row r="24">
          <cell r="M24">
            <v>-0.4725847095030641</v>
          </cell>
        </row>
        <row r="25">
          <cell r="M25">
            <v>-0.5261554631417936</v>
          </cell>
        </row>
        <row r="26">
          <cell r="M26">
            <v>-0.5768430116951416</v>
          </cell>
        </row>
        <row r="27">
          <cell r="M27">
            <v>-0.62632377474028</v>
          </cell>
        </row>
        <row r="28">
          <cell r="M28">
            <v>-0.6748782498644672</v>
          </cell>
        </row>
        <row r="29">
          <cell r="M29">
            <v>-0.7229495947682708</v>
          </cell>
        </row>
        <row r="30">
          <cell r="M30">
            <v>-0.770882918956559</v>
          </cell>
        </row>
        <row r="31">
          <cell r="M31">
            <v>-0.8189315282179058</v>
          </cell>
        </row>
        <row r="32">
          <cell r="M32">
            <v>-0.8674766866019769</v>
          </cell>
        </row>
        <row r="33">
          <cell r="M33">
            <v>-0.9167679179694548</v>
          </cell>
        </row>
        <row r="34">
          <cell r="M34">
            <v>-0.9671283960386144</v>
          </cell>
        </row>
        <row r="35">
          <cell r="M35">
            <v>-1.0189111298928748</v>
          </cell>
        </row>
        <row r="36">
          <cell r="M36">
            <v>-1.072381236051545</v>
          </cell>
        </row>
        <row r="37">
          <cell r="M37">
            <v>-1.1280864983109464</v>
          </cell>
        </row>
        <row r="38">
          <cell r="M38">
            <v>-1.1866289424589562</v>
          </cell>
        </row>
        <row r="39">
          <cell r="M39">
            <v>-1.2484668110260242</v>
          </cell>
        </row>
        <row r="40">
          <cell r="M40">
            <v>-1.3146950729765248</v>
          </cell>
        </row>
        <row r="41">
          <cell r="M41">
            <v>-1.3862719757944502</v>
          </cell>
        </row>
        <row r="42">
          <cell r="M42">
            <v>-1.463643292735403</v>
          </cell>
        </row>
        <row r="47">
          <cell r="M47">
            <v>-0.9962057691997916</v>
          </cell>
        </row>
        <row r="48">
          <cell r="M48">
            <v>-1.0020586485015945</v>
          </cell>
        </row>
        <row r="49">
          <cell r="M49">
            <v>-1.0854266139488287</v>
          </cell>
        </row>
        <row r="50">
          <cell r="M50">
            <v>-1.1637762674259693</v>
          </cell>
        </row>
        <row r="51">
          <cell r="M51">
            <v>-1.239075168627491</v>
          </cell>
        </row>
        <row r="52">
          <cell r="M52">
            <v>-1.3126336149754054</v>
          </cell>
        </row>
        <row r="53">
          <cell r="M53">
            <v>-1.3853539176118572</v>
          </cell>
        </row>
        <row r="54">
          <cell r="M54">
            <v>-1.4583924395940684</v>
          </cell>
        </row>
        <row r="55">
          <cell r="M55">
            <v>-1.5324290050316072</v>
          </cell>
        </row>
        <row r="56">
          <cell r="M56">
            <v>-1.6083404901146503</v>
          </cell>
        </row>
        <row r="57">
          <cell r="M57">
            <v>-1.68723168296781</v>
          </cell>
        </row>
        <row r="58">
          <cell r="M58">
            <v>-1.7698720892038968</v>
          </cell>
        </row>
        <row r="59">
          <cell r="M59">
            <v>-1.857988197278325</v>
          </cell>
        </row>
        <row r="60">
          <cell r="M60">
            <v>-1.9528091483623131</v>
          </cell>
        </row>
        <row r="61">
          <cell r="M61">
            <v>-2.0562244163677725</v>
          </cell>
        </row>
        <row r="72">
          <cell r="M72">
            <v>-1.4315649793308114</v>
          </cell>
        </row>
        <row r="73">
          <cell r="M73">
            <v>-1.5031113978909254</v>
          </cell>
        </row>
        <row r="74">
          <cell r="M74">
            <v>-1.6262178333673354</v>
          </cell>
        </row>
        <row r="75">
          <cell r="M75">
            <v>-1.7448986966969309</v>
          </cell>
        </row>
        <row r="76">
          <cell r="M76">
            <v>-1.8630264814476016</v>
          </cell>
        </row>
        <row r="77">
          <cell r="M77">
            <v>-1.9834856507491039</v>
          </cell>
        </row>
        <row r="78">
          <cell r="M78">
            <v>-2.108555433516901</v>
          </cell>
        </row>
        <row r="79">
          <cell r="M79">
            <v>-2.240046943380341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60"/>
  <sheetViews>
    <sheetView tabSelected="1" workbookViewId="0" topLeftCell="A13">
      <selection activeCell="E18" sqref="E18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2812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1.57421875" style="2" customWidth="1"/>
    <col min="19" max="19" width="9.281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140</v>
      </c>
      <c r="C1" s="15"/>
      <c r="D1" s="1"/>
      <c r="E1" s="1"/>
      <c r="F1" s="1"/>
      <c r="G1" s="19"/>
      <c r="H1" s="4"/>
      <c r="I1" s="22" t="s">
        <v>119</v>
      </c>
      <c r="K1" s="6"/>
      <c r="M1" s="6"/>
      <c r="Q1" s="2"/>
    </row>
    <row r="2" spans="1:17" ht="16.5">
      <c r="A2" s="6" t="s">
        <v>139</v>
      </c>
      <c r="C2" s="15"/>
      <c r="D2" s="1"/>
      <c r="E2" s="1"/>
      <c r="F2" s="1"/>
      <c r="G2" s="19"/>
      <c r="H2" s="4"/>
      <c r="K2" s="6"/>
      <c r="Q2" s="2"/>
    </row>
    <row r="4" spans="1:8" ht="16.5">
      <c r="A4" s="25" t="s">
        <v>4</v>
      </c>
      <c r="B4" s="26"/>
      <c r="C4" s="26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25" t="s">
        <v>5</v>
      </c>
      <c r="B5" s="26"/>
      <c r="C5" s="26"/>
      <c r="D5" s="6" t="s">
        <v>8</v>
      </c>
      <c r="E5" s="3">
        <f>0.001166/2</f>
        <v>0.000583</v>
      </c>
      <c r="F5" s="6" t="s">
        <v>13</v>
      </c>
    </row>
    <row r="6" spans="1:12" ht="16.5">
      <c r="A6" s="25" t="s">
        <v>6</v>
      </c>
      <c r="B6" s="26"/>
      <c r="C6" s="26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25" t="s">
        <v>11</v>
      </c>
      <c r="B7" s="26"/>
      <c r="C7" s="26"/>
      <c r="D7" s="6" t="s">
        <v>12</v>
      </c>
      <c r="E7" s="3">
        <v>0.053</v>
      </c>
      <c r="F7" s="2" t="s">
        <v>14</v>
      </c>
    </row>
    <row r="8" spans="1:6" ht="16.5">
      <c r="A8" s="25" t="s">
        <v>17</v>
      </c>
      <c r="B8" s="26"/>
      <c r="C8" s="26"/>
      <c r="D8" s="6" t="s">
        <v>18</v>
      </c>
      <c r="E8" s="3">
        <v>4.8E-05</v>
      </c>
      <c r="F8" s="2" t="s">
        <v>14</v>
      </c>
    </row>
    <row r="9" spans="1:8" ht="16.5">
      <c r="A9" s="25" t="s">
        <v>15</v>
      </c>
      <c r="B9" s="26"/>
      <c r="C9" s="26"/>
      <c r="D9" s="6" t="s">
        <v>16</v>
      </c>
      <c r="E9" s="3">
        <v>30</v>
      </c>
      <c r="H9" s="6" t="s">
        <v>2</v>
      </c>
    </row>
    <row r="10" spans="1:6" ht="16.5">
      <c r="A10" s="25" t="s">
        <v>19</v>
      </c>
      <c r="B10" s="26"/>
      <c r="C10" s="26"/>
      <c r="D10" s="6" t="s">
        <v>20</v>
      </c>
      <c r="E10" s="3">
        <f>E7*2*E6*E4/E9/(E9-1)</f>
        <v>4.386328735632183E-08</v>
      </c>
      <c r="F10" s="6" t="s">
        <v>25</v>
      </c>
    </row>
    <row r="11" spans="1:6" ht="16.5">
      <c r="A11" s="25" t="s">
        <v>21</v>
      </c>
      <c r="B11" s="26"/>
      <c r="C11" s="26"/>
      <c r="D11" s="6" t="s">
        <v>22</v>
      </c>
      <c r="E11" s="3">
        <f>E8*E6*E5/2/E9</f>
        <v>3.45136E-11</v>
      </c>
      <c r="F11" s="6" t="s">
        <v>25</v>
      </c>
    </row>
    <row r="12" spans="1:12" ht="16.5">
      <c r="A12" s="25" t="s">
        <v>24</v>
      </c>
      <c r="B12" s="26"/>
      <c r="C12" s="26"/>
      <c r="D12" s="8" t="s">
        <v>100</v>
      </c>
      <c r="E12" s="3">
        <f>E8*E5*2*E4/SQRT(E6^2+16*E4^2)</f>
        <v>3.5585299123758827E-09</v>
      </c>
      <c r="F12" s="6" t="s">
        <v>23</v>
      </c>
      <c r="H12" s="6" t="s">
        <v>10</v>
      </c>
      <c r="L12" s="9"/>
    </row>
    <row r="13" spans="1:6" ht="16.5">
      <c r="A13" s="25" t="s">
        <v>26</v>
      </c>
      <c r="B13" s="26"/>
      <c r="C13" s="26"/>
      <c r="D13" s="8" t="s">
        <v>101</v>
      </c>
      <c r="E13" s="3">
        <f>4*PI()*10^-7</f>
        <v>1.2566370614359173E-06</v>
      </c>
      <c r="F13" s="6" t="s">
        <v>27</v>
      </c>
    </row>
    <row r="14" spans="1:8" ht="16.5">
      <c r="A14" s="25" t="s">
        <v>31</v>
      </c>
      <c r="B14" s="26"/>
      <c r="C14" s="26"/>
      <c r="D14" s="8" t="s">
        <v>102</v>
      </c>
      <c r="E14" s="5">
        <v>0.826</v>
      </c>
      <c r="H14" s="6"/>
    </row>
    <row r="15" spans="1:8" ht="16.5">
      <c r="A15" s="25" t="s">
        <v>32</v>
      </c>
      <c r="B15" s="26"/>
      <c r="C15" s="26"/>
      <c r="D15" s="8" t="s">
        <v>33</v>
      </c>
      <c r="E15" s="5">
        <v>0.872</v>
      </c>
      <c r="H15" s="11" t="s">
        <v>3</v>
      </c>
    </row>
    <row r="16" spans="1:5" ht="16.5">
      <c r="A16" s="6" t="s">
        <v>120</v>
      </c>
      <c r="B16" s="7"/>
      <c r="C16" s="7"/>
      <c r="D16" s="6" t="s">
        <v>121</v>
      </c>
      <c r="E16" s="5">
        <v>2.25</v>
      </c>
    </row>
    <row r="17" spans="1:5" ht="16.5">
      <c r="A17" s="25" t="s">
        <v>34</v>
      </c>
      <c r="B17" s="26"/>
      <c r="C17" s="26"/>
      <c r="D17" s="8" t="s">
        <v>103</v>
      </c>
      <c r="E17" s="5">
        <f>1/(1+E16)</f>
        <v>0.3076923076923077</v>
      </c>
    </row>
    <row r="18" spans="1:8" ht="16.5">
      <c r="A18" s="6" t="s">
        <v>70</v>
      </c>
      <c r="B18" s="7"/>
      <c r="C18" s="23"/>
      <c r="D18" s="8" t="s">
        <v>104</v>
      </c>
      <c r="E18" s="3">
        <f>0.000000000916*48/205</f>
        <v>2.144780487804878E-10</v>
      </c>
      <c r="F18" s="6" t="s">
        <v>23</v>
      </c>
      <c r="H18" s="6" t="s">
        <v>122</v>
      </c>
    </row>
    <row r="19" spans="1:6" ht="16.5">
      <c r="A19" s="25" t="s">
        <v>71</v>
      </c>
      <c r="B19" s="26"/>
      <c r="C19" s="26"/>
      <c r="D19" s="10" t="s">
        <v>72</v>
      </c>
      <c r="E19" s="3">
        <v>0.004</v>
      </c>
      <c r="F19" s="2" t="s">
        <v>13</v>
      </c>
    </row>
    <row r="20" spans="1:5" ht="16.5">
      <c r="A20" s="25" t="s">
        <v>73</v>
      </c>
      <c r="B20" s="26"/>
      <c r="C20" s="26"/>
      <c r="D20" s="8" t="s">
        <v>28</v>
      </c>
      <c r="E20" s="3">
        <f>E13/2/E18*(E19/2/PI())^2</f>
        <v>0.001187291242133863</v>
      </c>
    </row>
    <row r="21" spans="1:11" ht="16.5">
      <c r="A21" s="25" t="s">
        <v>49</v>
      </c>
      <c r="B21" s="26"/>
      <c r="C21" s="26"/>
      <c r="D21" s="10" t="s">
        <v>50</v>
      </c>
      <c r="E21" s="3">
        <v>6E-06</v>
      </c>
      <c r="F21" s="6" t="s">
        <v>13</v>
      </c>
      <c r="K21" s="6"/>
    </row>
    <row r="22" spans="1:11" ht="18.75">
      <c r="A22" s="25" t="s">
        <v>56</v>
      </c>
      <c r="B22" s="26"/>
      <c r="C22" s="26"/>
      <c r="D22" s="10" t="s">
        <v>105</v>
      </c>
      <c r="E22" s="3">
        <v>38500000000</v>
      </c>
      <c r="F22" s="6" t="s">
        <v>57</v>
      </c>
      <c r="J22" s="6" t="s">
        <v>123</v>
      </c>
      <c r="K22" s="6"/>
    </row>
    <row r="23" spans="1:6" ht="18.75">
      <c r="A23" s="25" t="s">
        <v>56</v>
      </c>
      <c r="B23" s="26"/>
      <c r="C23" s="26"/>
      <c r="D23" s="10" t="s">
        <v>106</v>
      </c>
      <c r="E23" s="14">
        <v>0.13</v>
      </c>
      <c r="F23" s="6" t="s">
        <v>35</v>
      </c>
    </row>
    <row r="24" spans="1:76" ht="18.75">
      <c r="A24" s="25" t="s">
        <v>56</v>
      </c>
      <c r="B24" s="26"/>
      <c r="C24" s="26"/>
      <c r="D24" s="10" t="s">
        <v>109</v>
      </c>
      <c r="E24" s="3">
        <v>4350000000</v>
      </c>
      <c r="F24" s="6" t="s">
        <v>57</v>
      </c>
      <c r="N24" s="11" t="s">
        <v>96</v>
      </c>
      <c r="O24" s="12">
        <f>Q102</f>
        <v>1.328351243492124</v>
      </c>
      <c r="P24" s="13" t="s">
        <v>67</v>
      </c>
      <c r="Q24" s="2"/>
      <c r="R24"/>
      <c r="BX24" s="2"/>
    </row>
    <row r="25" spans="1:76" ht="18.75">
      <c r="A25" s="25" t="s">
        <v>56</v>
      </c>
      <c r="B25" s="26"/>
      <c r="C25" s="26"/>
      <c r="D25" s="10" t="s">
        <v>110</v>
      </c>
      <c r="E25" s="3">
        <v>-585000000</v>
      </c>
      <c r="F25" s="6" t="s">
        <v>75</v>
      </c>
      <c r="H25" s="6" t="s">
        <v>65</v>
      </c>
      <c r="N25" s="11" t="s">
        <v>124</v>
      </c>
      <c r="O25" s="12">
        <f>O24*4</f>
        <v>5.313404973968496</v>
      </c>
      <c r="P25" s="13" t="s">
        <v>67</v>
      </c>
      <c r="Q25" s="2"/>
      <c r="R25"/>
      <c r="BX25" s="2"/>
    </row>
    <row r="26" spans="1:76" ht="16.5">
      <c r="A26" s="25" t="s">
        <v>98</v>
      </c>
      <c r="B26" s="26"/>
      <c r="C26" s="26"/>
      <c r="D26" s="6" t="s">
        <v>76</v>
      </c>
      <c r="E26" s="16">
        <v>4</v>
      </c>
      <c r="F26" s="6" t="s">
        <v>35</v>
      </c>
      <c r="H26" s="2" t="s">
        <v>66</v>
      </c>
      <c r="I26" s="2" t="s">
        <v>107</v>
      </c>
      <c r="J26" s="2" t="s">
        <v>108</v>
      </c>
      <c r="N26" s="11" t="s">
        <v>97</v>
      </c>
      <c r="O26" s="15">
        <f>O25*J32</f>
        <v>13.814852932318091</v>
      </c>
      <c r="P26" s="13" t="s">
        <v>67</v>
      </c>
      <c r="Q26" s="2"/>
      <c r="R26"/>
      <c r="BX26" s="2"/>
    </row>
    <row r="27" spans="1:76" ht="16.5">
      <c r="A27" s="25" t="s">
        <v>36</v>
      </c>
      <c r="B27" s="26"/>
      <c r="C27" s="26"/>
      <c r="D27" s="6" t="s">
        <v>77</v>
      </c>
      <c r="E27" s="14">
        <v>2.1215</v>
      </c>
      <c r="F27" s="6" t="s">
        <v>35</v>
      </c>
      <c r="H27" s="2">
        <v>1</v>
      </c>
      <c r="I27" s="16">
        <v>0</v>
      </c>
      <c r="J27" s="16">
        <f>'[1]coil geom 2'!$B$16</f>
        <v>15.673373548625944</v>
      </c>
      <c r="N27" s="11"/>
      <c r="O27" s="15"/>
      <c r="P27" s="13"/>
      <c r="Q27" s="2"/>
      <c r="R27"/>
      <c r="BW27" s="2"/>
      <c r="BX27" s="2"/>
    </row>
    <row r="28" spans="1:76" ht="16.5">
      <c r="A28" s="25" t="s">
        <v>111</v>
      </c>
      <c r="B28" s="26"/>
      <c r="C28" s="26"/>
      <c r="D28" s="6" t="s">
        <v>37</v>
      </c>
      <c r="E28" s="16">
        <v>0.1</v>
      </c>
      <c r="H28" s="2">
        <v>2</v>
      </c>
      <c r="I28" s="16">
        <f>'[1]coil geom 2'!$C$16</f>
        <v>17.081863443783423</v>
      </c>
      <c r="J28" s="16">
        <f>'[1]coil geom 2'!$D$16</f>
        <v>36.23820889210402</v>
      </c>
      <c r="K28" s="16"/>
      <c r="N28" s="11" t="s">
        <v>95</v>
      </c>
      <c r="O28" s="15">
        <f>O26*2*E29/J34</f>
        <v>8.15302796005658</v>
      </c>
      <c r="P28" s="13" t="s">
        <v>67</v>
      </c>
      <c r="Q28" s="13"/>
      <c r="R28"/>
      <c r="BW28" s="2"/>
      <c r="BX28" s="2"/>
    </row>
    <row r="29" spans="1:76" ht="16.5">
      <c r="A29" s="25" t="s">
        <v>38</v>
      </c>
      <c r="B29" s="26"/>
      <c r="C29" s="26"/>
      <c r="D29" s="6" t="s">
        <v>94</v>
      </c>
      <c r="E29" s="16">
        <v>3.6</v>
      </c>
      <c r="F29" s="6" t="s">
        <v>29</v>
      </c>
      <c r="H29" s="2">
        <v>3</v>
      </c>
      <c r="I29" s="16">
        <f>'[1]coil geom 2'!$E$16</f>
        <v>41.284249216564326</v>
      </c>
      <c r="J29" s="16">
        <f>'[1]coil geom 2'!$F$16</f>
        <v>55.21613681534294</v>
      </c>
      <c r="K29" s="16"/>
      <c r="N29" s="11"/>
      <c r="O29" s="17"/>
      <c r="P29" s="17"/>
      <c r="Q29" s="13"/>
      <c r="R29" s="5"/>
      <c r="BX29" s="2"/>
    </row>
    <row r="30" spans="1:76" ht="16.5">
      <c r="A30" s="25" t="s">
        <v>85</v>
      </c>
      <c r="B30" s="26"/>
      <c r="C30" s="26"/>
      <c r="D30" s="6" t="s">
        <v>87</v>
      </c>
      <c r="E30" s="16">
        <f>E26*(1-E28)/E29</f>
        <v>1</v>
      </c>
      <c r="F30" s="6" t="s">
        <v>86</v>
      </c>
      <c r="H30" s="2">
        <v>4</v>
      </c>
      <c r="I30" s="16">
        <f>'[1]coil geom 2'!$G$16</f>
        <v>66.20526072708387</v>
      </c>
      <c r="J30" s="16">
        <f>'[1]coil geom 2'!$H$16</f>
        <v>73.17120452647318</v>
      </c>
      <c r="K30" s="16"/>
      <c r="L30" s="6"/>
      <c r="N30" s="11" t="s">
        <v>79</v>
      </c>
      <c r="O30" s="18">
        <f>K103</f>
        <v>0.003802721904249435</v>
      </c>
      <c r="P30" s="18"/>
      <c r="R30"/>
      <c r="BX30" s="2"/>
    </row>
    <row r="31" spans="1:76" ht="16.5">
      <c r="A31" s="25" t="s">
        <v>89</v>
      </c>
      <c r="B31" s="26"/>
      <c r="C31" s="26"/>
      <c r="D31" s="6" t="s">
        <v>90</v>
      </c>
      <c r="E31" s="16">
        <v>0</v>
      </c>
      <c r="F31" s="6" t="s">
        <v>29</v>
      </c>
      <c r="K31" s="6"/>
      <c r="N31" s="11" t="s">
        <v>80</v>
      </c>
      <c r="O31" s="18">
        <f>L103</f>
        <v>0.11531447830526134</v>
      </c>
      <c r="P31" s="18"/>
      <c r="R31"/>
      <c r="BX31" s="2"/>
    </row>
    <row r="32" spans="1:18" ht="16.5">
      <c r="A32" s="25" t="s">
        <v>91</v>
      </c>
      <c r="B32" s="26"/>
      <c r="C32" s="26"/>
      <c r="D32" s="6" t="s">
        <v>93</v>
      </c>
      <c r="E32" s="16">
        <v>5</v>
      </c>
      <c r="F32" s="6" t="s">
        <v>29</v>
      </c>
      <c r="I32" s="11" t="s">
        <v>83</v>
      </c>
      <c r="J32" s="2">
        <v>2.6</v>
      </c>
      <c r="K32" s="6" t="s">
        <v>78</v>
      </c>
      <c r="N32" s="11" t="s">
        <v>81</v>
      </c>
      <c r="O32" s="18">
        <f>M103</f>
        <v>0.0013128413498462413</v>
      </c>
      <c r="P32" s="18"/>
      <c r="Q32" s="2"/>
      <c r="R32"/>
    </row>
    <row r="33" spans="1:18" ht="16.5">
      <c r="A33" s="6" t="s">
        <v>113</v>
      </c>
      <c r="B33" s="7"/>
      <c r="C33" s="23"/>
      <c r="D33" s="6" t="s">
        <v>114</v>
      </c>
      <c r="E33" s="16">
        <v>1.55</v>
      </c>
      <c r="G33" s="6"/>
      <c r="H33" s="6"/>
      <c r="I33" s="11" t="s">
        <v>88</v>
      </c>
      <c r="J33" s="3">
        <f>'[1]coil geom 2'!$B$20</f>
        <v>7.888866402398716E-06</v>
      </c>
      <c r="K33" s="6" t="s">
        <v>51</v>
      </c>
      <c r="N33" s="11" t="s">
        <v>82</v>
      </c>
      <c r="O33" s="18">
        <f>N103</f>
        <v>0.30437685712661805</v>
      </c>
      <c r="P33" s="18"/>
      <c r="Q33" s="3"/>
      <c r="R33"/>
    </row>
    <row r="34" spans="1:18" ht="16.5">
      <c r="A34" s="6" t="s">
        <v>117</v>
      </c>
      <c r="B34" s="7"/>
      <c r="C34" s="23"/>
      <c r="D34" s="6" t="s">
        <v>115</v>
      </c>
      <c r="E34" s="16">
        <v>0.61</v>
      </c>
      <c r="H34" s="11"/>
      <c r="I34" s="11" t="s">
        <v>92</v>
      </c>
      <c r="J34" s="2">
        <f>E31+E32+2*E29</f>
        <v>12.2</v>
      </c>
      <c r="K34" s="6" t="s">
        <v>29</v>
      </c>
      <c r="N34" s="11" t="s">
        <v>84</v>
      </c>
      <c r="O34" s="18">
        <f>O103</f>
        <v>0.5751931013140256</v>
      </c>
      <c r="P34" s="18"/>
      <c r="Q34" s="3"/>
      <c r="R34"/>
    </row>
    <row r="35" spans="1:76" ht="16.5">
      <c r="A35" s="6" t="s">
        <v>118</v>
      </c>
      <c r="B35" s="7"/>
      <c r="C35" s="23"/>
      <c r="D35" s="6" t="s">
        <v>116</v>
      </c>
      <c r="E35" s="16">
        <v>1.19</v>
      </c>
      <c r="H35" s="11"/>
      <c r="I35" s="11" t="s">
        <v>112</v>
      </c>
      <c r="J35" s="16">
        <f>J34/2/E29</f>
        <v>1.6944444444444442</v>
      </c>
      <c r="K35" s="6"/>
      <c r="N35" s="11"/>
      <c r="O35" s="18"/>
      <c r="Q35" s="3"/>
      <c r="R35"/>
      <c r="BX35" s="2"/>
    </row>
    <row r="36" spans="16:27" ht="16.5">
      <c r="P36" s="2" t="s">
        <v>60</v>
      </c>
      <c r="Q36" s="5" t="s">
        <v>64</v>
      </c>
      <c r="R36"/>
      <c r="S36" s="27" t="s">
        <v>125</v>
      </c>
      <c r="T36" s="28"/>
      <c r="U36" s="28"/>
      <c r="V36" s="28"/>
      <c r="W36" s="28"/>
      <c r="X36" s="28"/>
      <c r="Y36" s="28"/>
      <c r="Z36" s="28"/>
      <c r="AA36" s="28"/>
    </row>
    <row r="37" spans="1:28" ht="16.5">
      <c r="A37" s="29" t="s">
        <v>74</v>
      </c>
      <c r="B37" s="29"/>
      <c r="C37" s="25"/>
      <c r="D37" s="25"/>
      <c r="E37" s="30"/>
      <c r="F37" s="19" t="s">
        <v>52</v>
      </c>
      <c r="G37" s="3"/>
      <c r="H37" s="3"/>
      <c r="I37" s="3"/>
      <c r="J37" s="2" t="s">
        <v>58</v>
      </c>
      <c r="P37" s="2" t="s">
        <v>61</v>
      </c>
      <c r="Q37" s="5" t="s">
        <v>62</v>
      </c>
      <c r="R37"/>
      <c r="S37" s="27" t="s">
        <v>126</v>
      </c>
      <c r="T37" s="27"/>
      <c r="U37" s="27"/>
      <c r="V37" s="27"/>
      <c r="W37" s="24"/>
      <c r="X37" s="27" t="s">
        <v>127</v>
      </c>
      <c r="Y37" s="27"/>
      <c r="Z37" s="27"/>
      <c r="AA37" s="27"/>
      <c r="AB37" s="31"/>
    </row>
    <row r="38" spans="1:76" ht="16.5">
      <c r="A38" s="2" t="s">
        <v>39</v>
      </c>
      <c r="B38" s="2" t="s">
        <v>40</v>
      </c>
      <c r="C38" s="12" t="s">
        <v>41</v>
      </c>
      <c r="D38" s="6" t="s">
        <v>42</v>
      </c>
      <c r="E38" s="3" t="s">
        <v>44</v>
      </c>
      <c r="F38" s="6" t="s">
        <v>43</v>
      </c>
      <c r="G38" s="6" t="s">
        <v>53</v>
      </c>
      <c r="H38" s="6" t="s">
        <v>54</v>
      </c>
      <c r="I38" s="3" t="s">
        <v>55</v>
      </c>
      <c r="J38" s="3" t="s">
        <v>44</v>
      </c>
      <c r="K38" s="2" t="s">
        <v>45</v>
      </c>
      <c r="L38" s="2" t="s">
        <v>46</v>
      </c>
      <c r="M38" s="2" t="s">
        <v>47</v>
      </c>
      <c r="N38" s="2" t="s">
        <v>48</v>
      </c>
      <c r="O38" s="2" t="s">
        <v>128</v>
      </c>
      <c r="P38" s="2" t="s">
        <v>59</v>
      </c>
      <c r="Q38" s="5" t="s">
        <v>63</v>
      </c>
      <c r="R38"/>
      <c r="S38" s="24" t="s">
        <v>129</v>
      </c>
      <c r="T38" s="24" t="s">
        <v>130</v>
      </c>
      <c r="U38" s="24" t="s">
        <v>131</v>
      </c>
      <c r="V38" s="24" t="s">
        <v>132</v>
      </c>
      <c r="W38" s="24" t="s">
        <v>133</v>
      </c>
      <c r="X38" s="24" t="s">
        <v>134</v>
      </c>
      <c r="Y38" s="24" t="s">
        <v>135</v>
      </c>
      <c r="Z38" s="24" t="s">
        <v>136</v>
      </c>
      <c r="AA38" s="24" t="s">
        <v>137</v>
      </c>
      <c r="AB38" s="24" t="s">
        <v>138</v>
      </c>
      <c r="AC38" s="24"/>
      <c r="AD38" s="24"/>
      <c r="AE38" s="24"/>
      <c r="AF38" s="24"/>
      <c r="AG38" s="24"/>
      <c r="BX38" s="2"/>
    </row>
    <row r="39" spans="1:76" ht="16.5">
      <c r="A39" s="20">
        <f>'[1]coil geom 2'!$A24</f>
        <v>0</v>
      </c>
      <c r="B39" s="5">
        <f>'[2]Bf'!$P6</f>
        <v>-0.8219977069090909</v>
      </c>
      <c r="C39" s="12">
        <f>'[2]Bf'!$O6</f>
        <v>244.26680129999903</v>
      </c>
      <c r="D39" s="6">
        <f>'[2]Br'!$M6</f>
        <v>-7.829455454545454E-06</v>
      </c>
      <c r="E39" s="19">
        <f aca="true" t="shared" si="0" ref="E39:E54">SQRT(B39^2+D39^2)</f>
        <v>0.8219977069463784</v>
      </c>
      <c r="F39" s="19">
        <f aca="true" t="shared" si="1" ref="F39:F54">-B39*$E$26*(1-$E$28)/$E$27/$E$29</f>
        <v>0.3874606207443275</v>
      </c>
      <c r="G39" s="19">
        <f aca="true" t="shared" si="2" ref="G39:G54">C39*$E$26*(1-$E$28)/$E$27/$E$29</f>
        <v>115.13872321470609</v>
      </c>
      <c r="H39" s="19">
        <f aca="true" t="shared" si="3" ref="H39:H54">-D39*$E$26*(1-$E$28)/$E$27/$E$29</f>
        <v>3.690528142609217E-06</v>
      </c>
      <c r="I39" s="19">
        <f aca="true" t="shared" si="4" ref="I39:I54">E39*$E$26*(1-$E$28)/$E$27/$E$29</f>
        <v>0.3874606207619036</v>
      </c>
      <c r="J39" s="19">
        <f aca="true" t="shared" si="5" ref="J39:J54">E39*E$26/E$27</f>
        <v>1.549842483047614</v>
      </c>
      <c r="K39" s="3">
        <f aca="true" t="shared" si="6" ref="K39:K54">E$33*E$14/120*E$6*F39^2/E$7*E$4*E$9*(E$9-1)/E$5</f>
        <v>16.235850058062976</v>
      </c>
      <c r="L39" s="3">
        <f aca="true" t="shared" si="7" ref="L39:L54">E$33*E$14/6*F39^2*E$4/E$8/E$5*SQRT(E$6^2+16*E$4^2)*(1+(G39*E$4/F39)^2/15)</f>
        <v>485.50350407186255</v>
      </c>
      <c r="M39" s="3">
        <f aca="true" t="shared" si="8" ref="M39:M54">E$34*E$14*H39^2/8*E$5/E$8/E$4*SQRT(E$6^2+16*E$4^2)</f>
        <v>1.6386772434104644E-10</v>
      </c>
      <c r="N39" s="3">
        <f aca="true" t="shared" si="9" ref="N39:N54">E$33*2*E$14*E$15*I39^2/E$13*E$20</f>
        <v>316.70926342296343</v>
      </c>
      <c r="O39" s="3">
        <f aca="true" t="shared" si="10" ref="O39:O54">(X39+Y39+Z39+AA39+AB39)/5</f>
        <v>1238.7162790192572</v>
      </c>
      <c r="P39" s="3">
        <f>SUM(K39:O39)</f>
        <v>2057.1648965723098</v>
      </c>
      <c r="Q39" s="5">
        <f aca="true" t="shared" si="11" ref="Q39:Q53">P39*J$33</f>
        <v>0.016228699036763324</v>
      </c>
      <c r="R39"/>
      <c r="S39" s="24">
        <f aca="true" t="shared" si="12" ref="S39:S54">SQRT(($B39-$C39*0.8*$E$4)^2+$D39^2)*$E$26/$E$27</f>
        <v>3.3423221260164553</v>
      </c>
      <c r="T39" s="24">
        <f aca="true" t="shared" si="13" ref="T39:T54">SQRT(($B39-$C39*0.4*$E$4)^2+$D39^2)*$E$26/$E$27</f>
        <v>2.446082304525127</v>
      </c>
      <c r="U39" s="24">
        <f aca="true" t="shared" si="14" ref="U39:U54">SQRT(($B39)^2+$D39^2)*$E$26/$E$27</f>
        <v>1.549842483047614</v>
      </c>
      <c r="V39" s="24">
        <f aca="true" t="shared" si="15" ref="V39:V54">SQRT(($B39+$C39*0.4*$E$4)^2+$D39^2)*$E$26/$E$27</f>
        <v>0.6536026616407444</v>
      </c>
      <c r="W39" s="24">
        <f aca="true" t="shared" si="16" ref="W39:W54">SQRT(($B39+$C39*0.8*$E$4)^2+$D39^2)*$E$26/$E$27</f>
        <v>0.2426371604783004</v>
      </c>
      <c r="X39" s="24">
        <f aca="true" t="shared" si="17" ref="X39:X54">$E$35*$E$14*$E$15*$E$17/$E$29*2/3*$E$21/PI()*($E$22*$E$23*LN((S39+$E$23)/($E$28*S39+$E$23))+$E$24*S39*(1-$E$28)+$E$25*S39^2/2*(1-$E$28^2))</f>
        <v>1858.1741816452097</v>
      </c>
      <c r="Y39" s="24">
        <f aca="true" t="shared" si="18" ref="Y39:Y54">$E$35*$E$14*$E$15*$E$17/$E$29*2/3*$E$21/PI()*($E$22*$E$23*LN((T39+$E$23)/($E$28*T39+$E$23))+$E$24*T39*(1-$E$28)+$E$25*T39^2/2*(1-$E$28^2))</f>
        <v>1631.7766579352394</v>
      </c>
      <c r="Z39" s="24">
        <f aca="true" t="shared" si="19" ref="Z39:Z54">$E$35*$E$14*$E$15*$E$17/$E$29*2/3*$E$21/PI()*($E$22*$E$23*LN((U39+$E$23)/($E$28*U39+$E$23))+$E$24*U39*(1-$E$28)+$E$25*U39^2/2*(1-$E$28^2))</f>
        <v>1329.2741204628305</v>
      </c>
      <c r="AA39" s="24">
        <f aca="true" t="shared" si="20" ref="AA39:AA54">$E$35*$E$14*$E$15*$E$17/$E$29*2/3*$E$21/PI()*($E$22*$E$23*LN((V39+$E$23)/($E$28*V39+$E$23))+$E$24*V39*(1-$E$28)+$E$25*V39^2/2*(1-$E$28^2))</f>
        <v>875.612694410799</v>
      </c>
      <c r="AB39" s="24">
        <f aca="true" t="shared" si="21" ref="AB39:AB54">$E$35*$E$14*$E$15*$E$17/$E$29*2/3*$E$21/PI()*($E$22*$E$23*LN((W39+$E$23)/($E$28*W39+$E$23))+$E$24*W39*(1-$E$28)+$E$25*W39^2/2*(1-$E$28^2))</f>
        <v>498.74374064220683</v>
      </c>
      <c r="AC39" s="24"/>
      <c r="AD39" s="24"/>
      <c r="AE39" s="24"/>
      <c r="AF39" s="24"/>
      <c r="AG39" s="24"/>
      <c r="BX39" s="2"/>
    </row>
    <row r="40" spans="1:76" ht="16.5">
      <c r="A40" s="20">
        <f>'[1]coil geom 2'!$A25</f>
        <v>1</v>
      </c>
      <c r="B40" s="5">
        <f>'[2]Bf'!$P7</f>
        <v>-0.8217296287421121</v>
      </c>
      <c r="C40" s="12">
        <f>'[2]Bf'!$O7</f>
        <v>246.64712192512508</v>
      </c>
      <c r="D40" s="6">
        <f>'[2]Br'!$M7</f>
        <v>-0.004352904612639874</v>
      </c>
      <c r="E40" s="19">
        <f t="shared" si="0"/>
        <v>0.8217411578661593</v>
      </c>
      <c r="F40" s="19">
        <f t="shared" si="1"/>
        <v>0.38733425818624184</v>
      </c>
      <c r="G40" s="19">
        <f t="shared" si="2"/>
        <v>116.26072209527459</v>
      </c>
      <c r="H40" s="19">
        <f t="shared" si="3"/>
        <v>0.0020518051438321344</v>
      </c>
      <c r="I40" s="19">
        <f t="shared" si="4"/>
        <v>0.38733969260719264</v>
      </c>
      <c r="J40" s="19">
        <f t="shared" si="5"/>
        <v>1.5493587704287706</v>
      </c>
      <c r="K40" s="3">
        <f t="shared" si="6"/>
        <v>16.225261787196683</v>
      </c>
      <c r="L40" s="3">
        <f t="shared" si="7"/>
        <v>486.38842866839906</v>
      </c>
      <c r="M40" s="3">
        <f t="shared" si="8"/>
        <v>5.065106813461227E-05</v>
      </c>
      <c r="N40" s="3">
        <f t="shared" si="9"/>
        <v>316.5116015801824</v>
      </c>
      <c r="O40" s="3">
        <f t="shared" si="10"/>
        <v>1243.239449694666</v>
      </c>
      <c r="P40" s="3">
        <f aca="true" t="shared" si="22" ref="P40:P100">SUM(K40:O40)</f>
        <v>2062.3647923815124</v>
      </c>
      <c r="Q40" s="5">
        <f t="shared" si="11"/>
        <v>0.016269720320108517</v>
      </c>
      <c r="R40"/>
      <c r="S40" s="24">
        <f t="shared" si="12"/>
        <v>3.3592939800275925</v>
      </c>
      <c r="T40" s="24">
        <f t="shared" si="13"/>
        <v>2.4543242159795335</v>
      </c>
      <c r="U40" s="24">
        <f t="shared" si="14"/>
        <v>1.5493587704287706</v>
      </c>
      <c r="V40" s="24">
        <f t="shared" si="15"/>
        <v>0.6444158372763887</v>
      </c>
      <c r="W40" s="24">
        <f t="shared" si="16"/>
        <v>0.26073908918261884</v>
      </c>
      <c r="X40" s="24">
        <f t="shared" si="17"/>
        <v>1861.8723788648492</v>
      </c>
      <c r="Y40" s="24">
        <f t="shared" si="18"/>
        <v>1634.1607182549099</v>
      </c>
      <c r="Z40" s="24">
        <f t="shared" si="19"/>
        <v>1329.082770990573</v>
      </c>
      <c r="AA40" s="24">
        <f t="shared" si="20"/>
        <v>869.2749733255228</v>
      </c>
      <c r="AB40" s="24">
        <f t="shared" si="21"/>
        <v>521.8064070374766</v>
      </c>
      <c r="AC40" s="24"/>
      <c r="AD40" s="24"/>
      <c r="AE40" s="24"/>
      <c r="AF40" s="24"/>
      <c r="AG40" s="24"/>
      <c r="BX40" s="2"/>
    </row>
    <row r="41" spans="1:76" ht="16.5">
      <c r="A41" s="20">
        <f>'[1]coil geom 2'!$A26</f>
        <v>2</v>
      </c>
      <c r="B41" s="5">
        <f>'[2]Bf'!$P8</f>
        <v>-0.821585611225844</v>
      </c>
      <c r="C41" s="12">
        <f>'[2]Bf'!$O8</f>
        <v>247.8761242952973</v>
      </c>
      <c r="D41" s="6">
        <f>'[2]Br'!$M8</f>
        <v>-0.04666387906774721</v>
      </c>
      <c r="E41" s="19">
        <f t="shared" si="0"/>
        <v>0.8229097363520455</v>
      </c>
      <c r="F41" s="19">
        <f t="shared" si="1"/>
        <v>0.3872663734272185</v>
      </c>
      <c r="G41" s="19">
        <f t="shared" si="2"/>
        <v>116.84003030652711</v>
      </c>
      <c r="H41" s="19">
        <f t="shared" si="3"/>
        <v>0.021995700715412306</v>
      </c>
      <c r="I41" s="19">
        <f t="shared" si="4"/>
        <v>0.3878905191383669</v>
      </c>
      <c r="J41" s="19">
        <f t="shared" si="5"/>
        <v>1.5515620765534677</v>
      </c>
      <c r="K41" s="3">
        <f t="shared" si="6"/>
        <v>16.219574960160042</v>
      </c>
      <c r="L41" s="3">
        <f t="shared" si="7"/>
        <v>486.84397351370046</v>
      </c>
      <c r="M41" s="3">
        <f t="shared" si="8"/>
        <v>0.005820924728572767</v>
      </c>
      <c r="N41" s="3">
        <f t="shared" si="9"/>
        <v>317.41244884889915</v>
      </c>
      <c r="O41" s="3">
        <f t="shared" si="10"/>
        <v>1249.9617447518463</v>
      </c>
      <c r="P41" s="3">
        <f t="shared" si="22"/>
        <v>2070.4435629993345</v>
      </c>
      <c r="Q41" s="5">
        <f t="shared" si="11"/>
        <v>0.01633345266220814</v>
      </c>
      <c r="R41"/>
      <c r="S41" s="24">
        <f t="shared" si="12"/>
        <v>3.3691800733463926</v>
      </c>
      <c r="T41" s="24">
        <f t="shared" si="13"/>
        <v>2.4601220835494417</v>
      </c>
      <c r="U41" s="24">
        <f t="shared" si="14"/>
        <v>1.5515620765534677</v>
      </c>
      <c r="V41" s="24">
        <f t="shared" si="15"/>
        <v>0.6456059176681892</v>
      </c>
      <c r="W41" s="24">
        <f t="shared" si="16"/>
        <v>0.2838785595205752</v>
      </c>
      <c r="X41" s="24">
        <f t="shared" si="17"/>
        <v>1864.0171648197245</v>
      </c>
      <c r="Y41" s="24">
        <f t="shared" si="18"/>
        <v>1635.8341161712383</v>
      </c>
      <c r="Z41" s="24">
        <f t="shared" si="19"/>
        <v>1329.9540591909738</v>
      </c>
      <c r="AA41" s="24">
        <f t="shared" si="20"/>
        <v>870.0993178159486</v>
      </c>
      <c r="AB41" s="24">
        <f t="shared" si="21"/>
        <v>549.904065761347</v>
      </c>
      <c r="AC41" s="24"/>
      <c r="AD41" s="24"/>
      <c r="AE41" s="24"/>
      <c r="AF41" s="24"/>
      <c r="AG41" s="24"/>
      <c r="BX41" s="2"/>
    </row>
    <row r="42" spans="1:76" ht="16.5">
      <c r="A42" s="20">
        <f>'[1]coil geom 2'!$A27</f>
        <v>3</v>
      </c>
      <c r="B42" s="5">
        <f>'[2]Bf'!$P9</f>
        <v>-0.8208176406045933</v>
      </c>
      <c r="C42" s="12">
        <f>'[2]Bf'!$O9</f>
        <v>248.61971105177216</v>
      </c>
      <c r="D42" s="6">
        <f>'[2]Br'!$M9</f>
        <v>-0.08816510333209439</v>
      </c>
      <c r="E42" s="19">
        <f t="shared" si="0"/>
        <v>0.8255390266809015</v>
      </c>
      <c r="F42" s="19">
        <f t="shared" si="1"/>
        <v>0.3869043792621226</v>
      </c>
      <c r="G42" s="19">
        <f t="shared" si="2"/>
        <v>117.19053078094373</v>
      </c>
      <c r="H42" s="19">
        <f t="shared" si="3"/>
        <v>0.041557908711805036</v>
      </c>
      <c r="I42" s="19">
        <f t="shared" si="4"/>
        <v>0.3891298735238753</v>
      </c>
      <c r="J42" s="19">
        <f t="shared" si="5"/>
        <v>1.5565194940955012</v>
      </c>
      <c r="K42" s="3">
        <f t="shared" si="6"/>
        <v>16.18926689428949</v>
      </c>
      <c r="L42" s="3">
        <f t="shared" si="7"/>
        <v>486.4158881505582</v>
      </c>
      <c r="M42" s="3">
        <f t="shared" si="8"/>
        <v>0.020778957234081418</v>
      </c>
      <c r="N42" s="3">
        <f t="shared" si="9"/>
        <v>319.4440270824842</v>
      </c>
      <c r="O42" s="3">
        <f t="shared" si="10"/>
        <v>1261.3588076731558</v>
      </c>
      <c r="P42" s="3">
        <f t="shared" si="22"/>
        <v>2083.4287687577216</v>
      </c>
      <c r="Q42" s="5">
        <f t="shared" si="11"/>
        <v>0.016435891215643712</v>
      </c>
      <c r="R42"/>
      <c r="S42" s="24">
        <f t="shared" si="12"/>
        <v>3.376134579139377</v>
      </c>
      <c r="T42" s="24">
        <f t="shared" si="13"/>
        <v>2.4654390563029476</v>
      </c>
      <c r="U42" s="24">
        <f t="shared" si="14"/>
        <v>1.5565194940955012</v>
      </c>
      <c r="V42" s="24">
        <f t="shared" si="15"/>
        <v>0.6567908966533021</v>
      </c>
      <c r="W42" s="24">
        <f t="shared" si="16"/>
        <v>0.32288353879684356</v>
      </c>
      <c r="X42" s="24">
        <f t="shared" si="17"/>
        <v>1865.5218005832269</v>
      </c>
      <c r="Y42" s="24">
        <f t="shared" si="18"/>
        <v>1637.3660398340858</v>
      </c>
      <c r="Z42" s="24">
        <f t="shared" si="19"/>
        <v>1331.9115815725947</v>
      </c>
      <c r="AA42" s="24">
        <f t="shared" si="20"/>
        <v>877.7984408688175</v>
      </c>
      <c r="AB42" s="24">
        <f t="shared" si="21"/>
        <v>594.1961755070538</v>
      </c>
      <c r="AC42" s="24"/>
      <c r="AD42" s="24"/>
      <c r="AE42" s="24"/>
      <c r="AF42" s="24"/>
      <c r="AG42" s="24"/>
      <c r="BX42" s="2"/>
    </row>
    <row r="43" spans="1:76" ht="16.5">
      <c r="A43" s="20">
        <f>'[1]coil geom 2'!$A28</f>
        <v>4</v>
      </c>
      <c r="B43" s="5">
        <f>'[2]Bf'!$P10</f>
        <v>-0.8198187393907777</v>
      </c>
      <c r="C43" s="12">
        <f>'[2]Bf'!$O10</f>
        <v>249.01848455721432</v>
      </c>
      <c r="D43" s="6">
        <f>'[2]Br'!$M10</f>
        <v>-0.12932473383011736</v>
      </c>
      <c r="E43" s="19">
        <f t="shared" si="0"/>
        <v>0.8299564158656251</v>
      </c>
      <c r="F43" s="19">
        <f t="shared" si="1"/>
        <v>0.386433532590515</v>
      </c>
      <c r="G43" s="19">
        <f t="shared" si="2"/>
        <v>117.37849849503384</v>
      </c>
      <c r="H43" s="19">
        <f t="shared" si="3"/>
        <v>0.06095910149899474</v>
      </c>
      <c r="I43" s="19">
        <f t="shared" si="4"/>
        <v>0.3912120744122673</v>
      </c>
      <c r="J43" s="19">
        <f t="shared" si="5"/>
        <v>1.564848297649069</v>
      </c>
      <c r="K43" s="3">
        <f t="shared" si="6"/>
        <v>16.149887530248268</v>
      </c>
      <c r="L43" s="3">
        <f t="shared" si="7"/>
        <v>485.579807128046</v>
      </c>
      <c r="M43" s="3">
        <f t="shared" si="8"/>
        <v>0.04470884947621728</v>
      </c>
      <c r="N43" s="3">
        <f t="shared" si="9"/>
        <v>322.87180918778085</v>
      </c>
      <c r="O43" s="3">
        <f t="shared" si="10"/>
        <v>1275.744797541376</v>
      </c>
      <c r="P43" s="3">
        <f t="shared" si="22"/>
        <v>2100.3910102369273</v>
      </c>
      <c r="Q43" s="5">
        <f t="shared" si="11"/>
        <v>0.016569704072558394</v>
      </c>
      <c r="R43"/>
      <c r="S43" s="24">
        <f t="shared" si="12"/>
        <v>3.381884442899738</v>
      </c>
      <c r="T43" s="24">
        <f t="shared" si="13"/>
        <v>2.471466303057563</v>
      </c>
      <c r="U43" s="24">
        <f t="shared" si="14"/>
        <v>1.564848297649069</v>
      </c>
      <c r="V43" s="24">
        <f t="shared" si="15"/>
        <v>0.6774628459522964</v>
      </c>
      <c r="W43" s="24">
        <f t="shared" si="16"/>
        <v>0.37250882690320813</v>
      </c>
      <c r="X43" s="24">
        <f t="shared" si="17"/>
        <v>1866.7632266069681</v>
      </c>
      <c r="Y43" s="24">
        <f t="shared" si="18"/>
        <v>1639.099517166471</v>
      </c>
      <c r="Z43" s="24">
        <f t="shared" si="19"/>
        <v>1335.1914592466867</v>
      </c>
      <c r="AA43" s="24">
        <f t="shared" si="20"/>
        <v>891.8037160296034</v>
      </c>
      <c r="AB43" s="24">
        <f t="shared" si="21"/>
        <v>645.8660686571509</v>
      </c>
      <c r="AC43" s="24"/>
      <c r="AD43" s="24"/>
      <c r="AE43" s="24"/>
      <c r="AF43" s="24"/>
      <c r="AG43" s="24"/>
      <c r="BX43" s="2"/>
    </row>
    <row r="44" spans="1:76" ht="16.5">
      <c r="A44" s="20">
        <f>'[1]coil geom 2'!$A29</f>
        <v>5</v>
      </c>
      <c r="B44" s="5">
        <f>'[2]Bf'!$P11</f>
        <v>-0.8183791186552796</v>
      </c>
      <c r="C44" s="12">
        <f>'[2]Bf'!$O11</f>
        <v>249.07833636928586</v>
      </c>
      <c r="D44" s="6">
        <f>'[2]Br'!$M11</f>
        <v>-0.17029335958175434</v>
      </c>
      <c r="E44" s="19">
        <f t="shared" si="0"/>
        <v>0.8359092116782976</v>
      </c>
      <c r="F44" s="19">
        <f t="shared" si="1"/>
        <v>0.3857549463376288</v>
      </c>
      <c r="G44" s="19">
        <f t="shared" si="2"/>
        <v>117.40671052052126</v>
      </c>
      <c r="H44" s="19">
        <f t="shared" si="3"/>
        <v>0.08027026141020707</v>
      </c>
      <c r="I44" s="19">
        <f t="shared" si="4"/>
        <v>0.39401801163247585</v>
      </c>
      <c r="J44" s="19">
        <f t="shared" si="5"/>
        <v>1.5760720465299034</v>
      </c>
      <c r="K44" s="3">
        <f t="shared" si="6"/>
        <v>16.093218175595652</v>
      </c>
      <c r="L44" s="3">
        <f t="shared" si="7"/>
        <v>484.12212094757473</v>
      </c>
      <c r="M44" s="3">
        <f t="shared" si="8"/>
        <v>0.07752213668926591</v>
      </c>
      <c r="N44" s="3">
        <f t="shared" si="9"/>
        <v>327.5199631782063</v>
      </c>
      <c r="O44" s="3">
        <f t="shared" si="10"/>
        <v>1291.7450085932812</v>
      </c>
      <c r="P44" s="3">
        <f t="shared" si="22"/>
        <v>2119.5578330313474</v>
      </c>
      <c r="Q44" s="5">
        <f t="shared" si="11"/>
        <v>0.016720908576942025</v>
      </c>
      <c r="R44"/>
      <c r="S44" s="24">
        <f t="shared" si="12"/>
        <v>3.386064963163</v>
      </c>
      <c r="T44" s="24">
        <f t="shared" si="13"/>
        <v>2.4778049911603084</v>
      </c>
      <c r="U44" s="24">
        <f t="shared" si="14"/>
        <v>1.5760720465299034</v>
      </c>
      <c r="V44" s="24">
        <f t="shared" si="15"/>
        <v>0.7063232260531422</v>
      </c>
      <c r="W44" s="24">
        <f t="shared" si="16"/>
        <v>0.42916871466407824</v>
      </c>
      <c r="X44" s="24">
        <f t="shared" si="17"/>
        <v>1867.6643579915772</v>
      </c>
      <c r="Y44" s="24">
        <f t="shared" si="18"/>
        <v>1640.9190329121298</v>
      </c>
      <c r="Z44" s="24">
        <f t="shared" si="19"/>
        <v>1339.5938614261968</v>
      </c>
      <c r="AA44" s="24">
        <f t="shared" si="20"/>
        <v>910.8945757698182</v>
      </c>
      <c r="AB44" s="24">
        <f t="shared" si="21"/>
        <v>699.6532148666842</v>
      </c>
      <c r="AC44" s="24"/>
      <c r="AD44" s="24"/>
      <c r="AE44" s="24"/>
      <c r="AF44" s="24"/>
      <c r="AG44" s="24"/>
      <c r="BX44" s="2"/>
    </row>
    <row r="45" spans="1:76" ht="16.5">
      <c r="A45" s="20">
        <f>'[1]coil geom 2'!$A30</f>
        <v>6</v>
      </c>
      <c r="B45" s="5">
        <f>'[2]Bf'!$P12</f>
        <v>-0.8165897522528507</v>
      </c>
      <c r="C45" s="12">
        <f>'[2]Bf'!$O12</f>
        <v>248.9262978938888</v>
      </c>
      <c r="D45" s="6">
        <f>'[2]Br'!$M12</f>
        <v>-0.21129872517543874</v>
      </c>
      <c r="E45" s="19">
        <f t="shared" si="0"/>
        <v>0.8434844247199457</v>
      </c>
      <c r="F45" s="19">
        <f t="shared" si="1"/>
        <v>0.3849115023581667</v>
      </c>
      <c r="G45" s="19">
        <f t="shared" si="2"/>
        <v>117.33504496530229</v>
      </c>
      <c r="H45" s="19">
        <f t="shared" si="3"/>
        <v>0.09959873918238922</v>
      </c>
      <c r="I45" s="19">
        <f t="shared" si="4"/>
        <v>0.3975886989016948</v>
      </c>
      <c r="J45" s="19">
        <f t="shared" si="5"/>
        <v>1.5903547956067794</v>
      </c>
      <c r="K45" s="3">
        <f t="shared" si="6"/>
        <v>16.02292023752362</v>
      </c>
      <c r="L45" s="3">
        <f t="shared" si="7"/>
        <v>482.2017243575899</v>
      </c>
      <c r="M45" s="3">
        <f t="shared" si="8"/>
        <v>0.11935045011000904</v>
      </c>
      <c r="N45" s="3">
        <f t="shared" si="9"/>
        <v>333.4829920019486</v>
      </c>
      <c r="O45" s="3">
        <f t="shared" si="10"/>
        <v>1308.781353780843</v>
      </c>
      <c r="P45" s="3">
        <f t="shared" si="22"/>
        <v>2140.608340828015</v>
      </c>
      <c r="Q45" s="5">
        <f t="shared" si="11"/>
        <v>0.01688697322065259</v>
      </c>
      <c r="R45"/>
      <c r="S45" s="24">
        <f t="shared" si="12"/>
        <v>3.389810517958049</v>
      </c>
      <c r="T45" s="24">
        <f t="shared" si="13"/>
        <v>2.485123584680822</v>
      </c>
      <c r="U45" s="24">
        <f t="shared" si="14"/>
        <v>1.5903547956067794</v>
      </c>
      <c r="V45" s="24">
        <f t="shared" si="15"/>
        <v>0.7422821444551092</v>
      </c>
      <c r="W45" s="24">
        <f t="shared" si="16"/>
        <v>0.4910218420183019</v>
      </c>
      <c r="X45" s="24">
        <f t="shared" si="17"/>
        <v>1868.4706836062337</v>
      </c>
      <c r="Y45" s="24">
        <f t="shared" si="18"/>
        <v>1643.0153346769755</v>
      </c>
      <c r="Z45" s="24">
        <f t="shared" si="19"/>
        <v>1345.1673775403235</v>
      </c>
      <c r="AA45" s="24">
        <f t="shared" si="20"/>
        <v>933.9788915995058</v>
      </c>
      <c r="AB45" s="24">
        <f t="shared" si="21"/>
        <v>753.2744814811767</v>
      </c>
      <c r="AC45" s="24"/>
      <c r="AD45" s="24"/>
      <c r="AE45" s="24"/>
      <c r="AF45" s="24"/>
      <c r="AG45" s="24"/>
      <c r="BX45" s="2"/>
    </row>
    <row r="46" spans="1:76" ht="16.5">
      <c r="A46" s="20">
        <f>'[1]coil geom 2'!$A31</f>
        <v>7</v>
      </c>
      <c r="B46" s="5">
        <f>'[2]Bf'!$P13</f>
        <v>-0.814521089821648</v>
      </c>
      <c r="C46" s="12">
        <f>'[2]Bf'!$O13</f>
        <v>248.45779899296454</v>
      </c>
      <c r="D46" s="6">
        <f>'[2]Br'!$M13</f>
        <v>-0.25243209734431343</v>
      </c>
      <c r="E46" s="19">
        <f t="shared" si="0"/>
        <v>0.8527406226596068</v>
      </c>
      <c r="F46" s="19">
        <f t="shared" si="1"/>
        <v>0.38393640811767515</v>
      </c>
      <c r="G46" s="19">
        <f t="shared" si="2"/>
        <v>117.11421116802475</v>
      </c>
      <c r="H46" s="19">
        <f t="shared" si="3"/>
        <v>0.11898755472274966</v>
      </c>
      <c r="I46" s="19">
        <f t="shared" si="4"/>
        <v>0.40195174294584335</v>
      </c>
      <c r="J46" s="19">
        <f t="shared" si="5"/>
        <v>1.6078069717833736</v>
      </c>
      <c r="K46" s="3">
        <f t="shared" si="6"/>
        <v>15.94184151045481</v>
      </c>
      <c r="L46" s="3">
        <f t="shared" si="7"/>
        <v>479.84183370305965</v>
      </c>
      <c r="M46" s="3">
        <f t="shared" si="8"/>
        <v>0.1703411044835131</v>
      </c>
      <c r="N46" s="3">
        <f t="shared" si="9"/>
        <v>340.842277635025</v>
      </c>
      <c r="O46" s="3">
        <f t="shared" si="10"/>
        <v>1326.3482264522186</v>
      </c>
      <c r="P46" s="3">
        <f t="shared" si="22"/>
        <v>2163.1445204052416</v>
      </c>
      <c r="Q46" s="5">
        <f t="shared" si="11"/>
        <v>0.017064758130557793</v>
      </c>
      <c r="R46"/>
      <c r="S46" s="24">
        <f t="shared" si="12"/>
        <v>3.3925319522933988</v>
      </c>
      <c r="T46" s="24">
        <f t="shared" si="13"/>
        <v>2.4932133005939465</v>
      </c>
      <c r="U46" s="24">
        <f t="shared" si="14"/>
        <v>1.6078069717833736</v>
      </c>
      <c r="V46" s="24">
        <f t="shared" si="15"/>
        <v>0.784898169256142</v>
      </c>
      <c r="W46" s="24">
        <f t="shared" si="16"/>
        <v>0.5560379438651871</v>
      </c>
      <c r="X46" s="24">
        <f t="shared" si="17"/>
        <v>1869.0559211167822</v>
      </c>
      <c r="Y46" s="24">
        <f t="shared" si="18"/>
        <v>1645.3269230188998</v>
      </c>
      <c r="Z46" s="24">
        <f t="shared" si="19"/>
        <v>1351.9345651161184</v>
      </c>
      <c r="AA46" s="24">
        <f t="shared" si="20"/>
        <v>960.4103119610602</v>
      </c>
      <c r="AB46" s="24">
        <f t="shared" si="21"/>
        <v>805.0134110482326</v>
      </c>
      <c r="AC46" s="24"/>
      <c r="AD46" s="24"/>
      <c r="AE46" s="24"/>
      <c r="AF46" s="24"/>
      <c r="AG46" s="24"/>
      <c r="BX46" s="2"/>
    </row>
    <row r="47" spans="1:76" ht="16.5">
      <c r="A47" s="20">
        <f>'[1]coil geom 2'!$A32</f>
        <v>8</v>
      </c>
      <c r="B47" s="5">
        <f>'[2]Bf'!$P14</f>
        <v>-0.811908099555227</v>
      </c>
      <c r="C47" s="12">
        <f>'[2]Bf'!$O14</f>
        <v>247.71187929577997</v>
      </c>
      <c r="D47" s="6">
        <f>'[2]Br'!$M14</f>
        <v>-0.2939766016246563</v>
      </c>
      <c r="E47" s="19">
        <f t="shared" si="0"/>
        <v>0.863491172176162</v>
      </c>
      <c r="F47" s="19">
        <f t="shared" si="1"/>
        <v>0.38270473700458496</v>
      </c>
      <c r="G47" s="19">
        <f t="shared" si="2"/>
        <v>116.76261102794247</v>
      </c>
      <c r="H47" s="19">
        <f t="shared" si="3"/>
        <v>0.13857016338659262</v>
      </c>
      <c r="I47" s="19">
        <f t="shared" si="4"/>
        <v>0.40701917142406874</v>
      </c>
      <c r="J47" s="19">
        <f t="shared" si="5"/>
        <v>1.6280766856962752</v>
      </c>
      <c r="K47" s="3">
        <f t="shared" si="6"/>
        <v>15.839722459100352</v>
      </c>
      <c r="L47" s="3">
        <f t="shared" si="7"/>
        <v>476.79330605843234</v>
      </c>
      <c r="M47" s="3">
        <f t="shared" si="8"/>
        <v>0.23102332908342443</v>
      </c>
      <c r="N47" s="3">
        <f t="shared" si="9"/>
        <v>349.4904863337121</v>
      </c>
      <c r="O47" s="3">
        <f t="shared" si="10"/>
        <v>1344.242057989763</v>
      </c>
      <c r="P47" s="3">
        <f t="shared" si="22"/>
        <v>2186.5965961700913</v>
      </c>
      <c r="Q47" s="5">
        <f t="shared" si="11"/>
        <v>0.017249768423125627</v>
      </c>
      <c r="R47"/>
      <c r="S47" s="24">
        <f t="shared" si="12"/>
        <v>3.3941435169877665</v>
      </c>
      <c r="T47" s="24">
        <f t="shared" si="13"/>
        <v>2.5018710600782894</v>
      </c>
      <c r="U47" s="24">
        <f t="shared" si="14"/>
        <v>1.6280766856962752</v>
      </c>
      <c r="V47" s="24">
        <f t="shared" si="15"/>
        <v>0.8330875666228617</v>
      </c>
      <c r="W47" s="24">
        <f t="shared" si="16"/>
        <v>0.6241493400771656</v>
      </c>
      <c r="X47" s="24">
        <f t="shared" si="17"/>
        <v>1869.4022380274796</v>
      </c>
      <c r="Y47" s="24">
        <f t="shared" si="18"/>
        <v>1647.7943443073598</v>
      </c>
      <c r="Z47" s="24">
        <f t="shared" si="19"/>
        <v>1359.735674167519</v>
      </c>
      <c r="AA47" s="24">
        <f t="shared" si="20"/>
        <v>989.1980585660847</v>
      </c>
      <c r="AB47" s="24">
        <f t="shared" si="21"/>
        <v>855.079974880373</v>
      </c>
      <c r="AC47" s="24"/>
      <c r="AD47" s="24"/>
      <c r="AE47" s="24"/>
      <c r="AF47" s="24"/>
      <c r="AG47" s="24"/>
      <c r="BX47" s="2"/>
    </row>
    <row r="48" spans="1:76" ht="16.5">
      <c r="A48" s="20">
        <f>'[1]coil geom 2'!$A33</f>
        <v>9</v>
      </c>
      <c r="B48" s="5">
        <f>'[2]Bf'!$P15</f>
        <v>-0.808983216110299</v>
      </c>
      <c r="C48" s="12">
        <f>'[2]Bf'!$O15</f>
        <v>246.684348194236</v>
      </c>
      <c r="D48" s="6">
        <f>'[2]Br'!$M15</f>
        <v>-0.3360578703147423</v>
      </c>
      <c r="E48" s="19">
        <f t="shared" si="0"/>
        <v>0.8760072694610718</v>
      </c>
      <c r="F48" s="19">
        <f t="shared" si="1"/>
        <v>0.38132605048800333</v>
      </c>
      <c r="G48" s="19">
        <f t="shared" si="2"/>
        <v>116.27826924074287</v>
      </c>
      <c r="H48" s="19">
        <f t="shared" si="3"/>
        <v>0.15840578379200673</v>
      </c>
      <c r="I48" s="19">
        <f t="shared" si="4"/>
        <v>0.41291881662082097</v>
      </c>
      <c r="J48" s="19">
        <f t="shared" si="5"/>
        <v>1.6516752664832839</v>
      </c>
      <c r="K48" s="3">
        <f t="shared" si="6"/>
        <v>15.725803428774846</v>
      </c>
      <c r="L48" s="3">
        <f t="shared" si="7"/>
        <v>473.2978430495888</v>
      </c>
      <c r="M48" s="3">
        <f t="shared" si="8"/>
        <v>0.30189675794830373</v>
      </c>
      <c r="N48" s="3">
        <f t="shared" si="9"/>
        <v>359.6954750381649</v>
      </c>
      <c r="O48" s="3">
        <f t="shared" si="10"/>
        <v>1362.435621404406</v>
      </c>
      <c r="P48" s="3">
        <f t="shared" si="22"/>
        <v>2211.4566396788828</v>
      </c>
      <c r="Q48" s="5">
        <f t="shared" si="11"/>
        <v>0.017445885985124303</v>
      </c>
      <c r="R48"/>
      <c r="S48" s="24">
        <f t="shared" si="12"/>
        <v>3.395173134993116</v>
      </c>
      <c r="T48" s="24">
        <f t="shared" si="13"/>
        <v>2.5116511904863894</v>
      </c>
      <c r="U48" s="24">
        <f t="shared" si="14"/>
        <v>1.6516752664832839</v>
      </c>
      <c r="V48" s="24">
        <f t="shared" si="15"/>
        <v>0.8866335580733302</v>
      </c>
      <c r="W48" s="24">
        <f t="shared" si="16"/>
        <v>0.6947340094159314</v>
      </c>
      <c r="X48" s="24">
        <f t="shared" si="17"/>
        <v>1869.6234018488742</v>
      </c>
      <c r="Y48" s="24">
        <f t="shared" si="18"/>
        <v>1650.5736019708265</v>
      </c>
      <c r="Z48" s="24">
        <f t="shared" si="19"/>
        <v>1368.7400620450646</v>
      </c>
      <c r="AA48" s="24">
        <f t="shared" si="20"/>
        <v>1019.9499607657865</v>
      </c>
      <c r="AB48" s="24">
        <f t="shared" si="21"/>
        <v>903.291080391478</v>
      </c>
      <c r="AC48" s="24"/>
      <c r="AD48" s="24"/>
      <c r="AE48" s="24"/>
      <c r="AF48" s="24"/>
      <c r="AG48" s="24"/>
      <c r="BX48" s="2"/>
    </row>
    <row r="49" spans="1:76" ht="16.5">
      <c r="A49" s="20">
        <f>'[1]coil geom 2'!$A34</f>
        <v>10</v>
      </c>
      <c r="B49" s="5">
        <f>'[2]Bf'!$P16</f>
        <v>-0.805486638655367</v>
      </c>
      <c r="C49" s="12">
        <f>'[2]Bf'!$O16</f>
        <v>245.26913205326798</v>
      </c>
      <c r="D49" s="6">
        <f>'[2]Br'!$M16</f>
        <v>-0.3788205015613247</v>
      </c>
      <c r="E49" s="19">
        <f t="shared" si="0"/>
        <v>0.8901200466540989</v>
      </c>
      <c r="F49" s="19">
        <f t="shared" si="1"/>
        <v>0.3796778876527772</v>
      </c>
      <c r="G49" s="19">
        <f t="shared" si="2"/>
        <v>115.61118644980813</v>
      </c>
      <c r="H49" s="19">
        <f t="shared" si="3"/>
        <v>0.17856257438667203</v>
      </c>
      <c r="I49" s="19">
        <f t="shared" si="4"/>
        <v>0.4195710802046188</v>
      </c>
      <c r="J49" s="19">
        <f t="shared" si="5"/>
        <v>1.6782843208184755</v>
      </c>
      <c r="K49" s="3">
        <f t="shared" si="6"/>
        <v>15.590157453265693</v>
      </c>
      <c r="L49" s="3">
        <f t="shared" si="7"/>
        <v>469.04483743580585</v>
      </c>
      <c r="M49" s="3">
        <f t="shared" si="8"/>
        <v>0.38361648091071293</v>
      </c>
      <c r="N49" s="3">
        <f t="shared" si="9"/>
        <v>371.378466168021</v>
      </c>
      <c r="O49" s="3">
        <f t="shared" si="10"/>
        <v>1380.7383897983193</v>
      </c>
      <c r="P49" s="3">
        <f t="shared" si="22"/>
        <v>2237.1354673363226</v>
      </c>
      <c r="Q49" s="5">
        <f t="shared" si="11"/>
        <v>0.017648462825884066</v>
      </c>
      <c r="R49"/>
      <c r="S49" s="24">
        <f t="shared" si="12"/>
        <v>3.3945403766315625</v>
      </c>
      <c r="T49" s="24">
        <f t="shared" si="13"/>
        <v>2.521888152287422</v>
      </c>
      <c r="U49" s="24">
        <f t="shared" si="14"/>
        <v>1.6782843208184755</v>
      </c>
      <c r="V49" s="24">
        <f t="shared" si="15"/>
        <v>0.9450183041371969</v>
      </c>
      <c r="W49" s="24">
        <f t="shared" si="16"/>
        <v>0.7675831248765853</v>
      </c>
      <c r="X49" s="24">
        <f t="shared" si="17"/>
        <v>1869.4874930427204</v>
      </c>
      <c r="Y49" s="24">
        <f t="shared" si="18"/>
        <v>1653.4735828019016</v>
      </c>
      <c r="Z49" s="24">
        <f t="shared" si="19"/>
        <v>1378.7946878408527</v>
      </c>
      <c r="AA49" s="24">
        <f t="shared" si="20"/>
        <v>1052.1494858847548</v>
      </c>
      <c r="AB49" s="24">
        <f t="shared" si="21"/>
        <v>949.7866994213672</v>
      </c>
      <c r="AC49" s="24"/>
      <c r="AD49" s="24"/>
      <c r="AE49" s="24"/>
      <c r="AF49" s="24"/>
      <c r="AG49" s="24"/>
      <c r="BX49" s="2"/>
    </row>
    <row r="50" spans="1:76" ht="16.5">
      <c r="A50" s="20">
        <f>'[1]coil geom 2'!$A35</f>
        <v>11</v>
      </c>
      <c r="B50" s="5">
        <f>'[2]Bf'!$P17</f>
        <v>-0.8015244467186982</v>
      </c>
      <c r="C50" s="12">
        <f>'[2]Bf'!$O17</f>
        <v>243.52097485084414</v>
      </c>
      <c r="D50" s="6">
        <f>'[2]Br'!$M17</f>
        <v>-0.42258181905155917</v>
      </c>
      <c r="E50" s="19">
        <f t="shared" si="0"/>
        <v>0.9060997916789518</v>
      </c>
      <c r="F50" s="19">
        <f t="shared" si="1"/>
        <v>0.3778102506333717</v>
      </c>
      <c r="G50" s="19">
        <f t="shared" si="2"/>
        <v>114.78716702844409</v>
      </c>
      <c r="H50" s="19">
        <f t="shared" si="3"/>
        <v>0.19919011032361966</v>
      </c>
      <c r="I50" s="19">
        <f t="shared" si="4"/>
        <v>0.4271033663346462</v>
      </c>
      <c r="J50" s="19">
        <f t="shared" si="5"/>
        <v>1.7084134653385845</v>
      </c>
      <c r="K50" s="3">
        <f t="shared" si="6"/>
        <v>15.437158590671414</v>
      </c>
      <c r="L50" s="3">
        <f t="shared" si="7"/>
        <v>464.1788967145135</v>
      </c>
      <c r="M50" s="3">
        <f t="shared" si="8"/>
        <v>0.4773664842192712</v>
      </c>
      <c r="N50" s="3">
        <f t="shared" si="9"/>
        <v>384.83238763130703</v>
      </c>
      <c r="O50" s="3">
        <f t="shared" si="10"/>
        <v>1399.3160722590324</v>
      </c>
      <c r="P50" s="3">
        <f t="shared" si="22"/>
        <v>2264.2418816797435</v>
      </c>
      <c r="Q50" s="5">
        <f t="shared" si="11"/>
        <v>0.01786230170728738</v>
      </c>
      <c r="R50"/>
      <c r="S50" s="24">
        <f t="shared" si="12"/>
        <v>3.39312018000317</v>
      </c>
      <c r="T50" s="24">
        <f t="shared" si="13"/>
        <v>2.5333026665942477</v>
      </c>
      <c r="U50" s="24">
        <f t="shared" si="14"/>
        <v>1.7084134653385845</v>
      </c>
      <c r="V50" s="24">
        <f t="shared" si="15"/>
        <v>1.0081800731390842</v>
      </c>
      <c r="W50" s="24">
        <f t="shared" si="16"/>
        <v>0.8431333669990425</v>
      </c>
      <c r="X50" s="24">
        <f t="shared" si="17"/>
        <v>1869.1823494058128</v>
      </c>
      <c r="Y50" s="24">
        <f t="shared" si="18"/>
        <v>1656.6962194986481</v>
      </c>
      <c r="Z50" s="24">
        <f t="shared" si="19"/>
        <v>1390.0563226927397</v>
      </c>
      <c r="AA50" s="24">
        <f t="shared" si="20"/>
        <v>1085.5828723126751</v>
      </c>
      <c r="AB50" s="24">
        <f t="shared" si="21"/>
        <v>995.062597385287</v>
      </c>
      <c r="AC50" s="24"/>
      <c r="AD50" s="24"/>
      <c r="AE50" s="24"/>
      <c r="AF50" s="24"/>
      <c r="AG50" s="24"/>
      <c r="BX50" s="2"/>
    </row>
    <row r="51" spans="1:76" ht="16.5">
      <c r="A51" s="20">
        <f>'[1]coil geom 2'!$A36</f>
        <v>12</v>
      </c>
      <c r="B51" s="5">
        <f>'[2]Bf'!$P18</f>
        <v>-0.7970047609221869</v>
      </c>
      <c r="C51" s="12">
        <f>'[2]Bf'!$O18</f>
        <v>241.13815804634072</v>
      </c>
      <c r="D51" s="6">
        <f>'[2]Br'!$M18</f>
        <v>-0.4676103714250752</v>
      </c>
      <c r="E51" s="19">
        <f t="shared" si="0"/>
        <v>0.924054137156979</v>
      </c>
      <c r="F51" s="19">
        <f t="shared" si="1"/>
        <v>0.37567983074343003</v>
      </c>
      <c r="G51" s="19">
        <f t="shared" si="2"/>
        <v>113.66399153728055</v>
      </c>
      <c r="H51" s="19">
        <f t="shared" si="3"/>
        <v>0.22041497592508846</v>
      </c>
      <c r="I51" s="19">
        <f t="shared" si="4"/>
        <v>0.43556640921846757</v>
      </c>
      <c r="J51" s="19">
        <f t="shared" si="5"/>
        <v>1.7422656368738703</v>
      </c>
      <c r="K51" s="3">
        <f t="shared" si="6"/>
        <v>15.263553426454726</v>
      </c>
      <c r="L51" s="3">
        <f t="shared" si="7"/>
        <v>458.4732147275147</v>
      </c>
      <c r="M51" s="3">
        <f t="shared" si="8"/>
        <v>0.5845189260889831</v>
      </c>
      <c r="N51" s="3">
        <f t="shared" si="9"/>
        <v>400.23437455348903</v>
      </c>
      <c r="O51" s="3">
        <f t="shared" si="10"/>
        <v>1418.0696578534448</v>
      </c>
      <c r="P51" s="3">
        <f t="shared" si="22"/>
        <v>2292.6253194869923</v>
      </c>
      <c r="Q51" s="5">
        <f t="shared" si="11"/>
        <v>0.018086214856189557</v>
      </c>
      <c r="R51"/>
      <c r="S51" s="24">
        <f t="shared" si="12"/>
        <v>3.388935090796135</v>
      </c>
      <c r="T51" s="24">
        <f t="shared" si="13"/>
        <v>2.545070556831716</v>
      </c>
      <c r="U51" s="24">
        <f t="shared" si="14"/>
        <v>1.7422656368738703</v>
      </c>
      <c r="V51" s="24">
        <f t="shared" si="15"/>
        <v>1.076660243609303</v>
      </c>
      <c r="W51" s="24">
        <f t="shared" si="16"/>
        <v>0.9211445768519146</v>
      </c>
      <c r="X51" s="24">
        <f t="shared" si="17"/>
        <v>1868.2823142821903</v>
      </c>
      <c r="Y51" s="24">
        <f t="shared" si="18"/>
        <v>1660.0066120405638</v>
      </c>
      <c r="Z51" s="24">
        <f t="shared" si="19"/>
        <v>1402.5574538442297</v>
      </c>
      <c r="AA51" s="24">
        <f t="shared" si="20"/>
        <v>1120.3604706848198</v>
      </c>
      <c r="AB51" s="24">
        <f t="shared" si="21"/>
        <v>1039.1414384154193</v>
      </c>
      <c r="AC51" s="24"/>
      <c r="AD51" s="24"/>
      <c r="AE51" s="24"/>
      <c r="AF51" s="24"/>
      <c r="AG51" s="24"/>
      <c r="BX51" s="2"/>
    </row>
    <row r="52" spans="1:76" ht="16.5">
      <c r="A52" s="20">
        <f>'[1]coil geom 2'!$A37</f>
        <v>13</v>
      </c>
      <c r="B52" s="5">
        <f>'[2]Bf'!$P19</f>
        <v>-0.7918310116276626</v>
      </c>
      <c r="C52" s="12">
        <f>'[2]Bf'!$O19</f>
        <v>238.16823057209103</v>
      </c>
      <c r="D52" s="6">
        <f>'[2]Br'!$M19</f>
        <v>-0.5142884104791888</v>
      </c>
      <c r="E52" s="19">
        <f t="shared" si="0"/>
        <v>0.9441869095303631</v>
      </c>
      <c r="F52" s="19">
        <f t="shared" si="1"/>
        <v>0.37324110847403363</v>
      </c>
      <c r="G52" s="19">
        <f t="shared" si="2"/>
        <v>112.26407285981195</v>
      </c>
      <c r="H52" s="19">
        <f t="shared" si="3"/>
        <v>0.2424173511568177</v>
      </c>
      <c r="I52" s="19">
        <f t="shared" si="4"/>
        <v>0.4450562854255776</v>
      </c>
      <c r="J52" s="19">
        <f t="shared" si="5"/>
        <v>1.7802251417023107</v>
      </c>
      <c r="K52" s="3">
        <f t="shared" si="6"/>
        <v>15.066030182531046</v>
      </c>
      <c r="L52" s="3">
        <f t="shared" si="7"/>
        <v>451.8724358241995</v>
      </c>
      <c r="M52" s="3">
        <f t="shared" si="8"/>
        <v>0.7070396719113556</v>
      </c>
      <c r="N52" s="3">
        <f t="shared" si="9"/>
        <v>417.8645261673063</v>
      </c>
      <c r="O52" s="3">
        <f t="shared" si="10"/>
        <v>1437.1716654786565</v>
      </c>
      <c r="P52" s="3">
        <f t="shared" si="22"/>
        <v>2322.6816973246046</v>
      </c>
      <c r="Q52" s="5">
        <f t="shared" si="11"/>
        <v>0.018323325605490496</v>
      </c>
      <c r="R52"/>
      <c r="S52" s="24">
        <f t="shared" si="12"/>
        <v>3.382652846985894</v>
      </c>
      <c r="T52" s="24">
        <f t="shared" si="13"/>
        <v>2.557759454513822</v>
      </c>
      <c r="U52" s="24">
        <f t="shared" si="14"/>
        <v>1.7802251417023107</v>
      </c>
      <c r="V52" s="24">
        <f t="shared" si="15"/>
        <v>1.1504541134718431</v>
      </c>
      <c r="W52" s="24">
        <f t="shared" si="16"/>
        <v>1.0025780584675985</v>
      </c>
      <c r="X52" s="24">
        <f t="shared" si="17"/>
        <v>1866.9289523213406</v>
      </c>
      <c r="Y52" s="24">
        <f t="shared" si="18"/>
        <v>1663.5624868973182</v>
      </c>
      <c r="Z52" s="24">
        <f t="shared" si="19"/>
        <v>1416.389141353479</v>
      </c>
      <c r="AA52" s="24">
        <f t="shared" si="20"/>
        <v>1156.3053468499302</v>
      </c>
      <c r="AB52" s="24">
        <f t="shared" si="21"/>
        <v>1082.6723999712146</v>
      </c>
      <c r="AC52" s="24"/>
      <c r="AD52" s="24"/>
      <c r="AE52" s="24"/>
      <c r="AF52" s="24"/>
      <c r="AG52" s="24"/>
      <c r="BX52" s="2"/>
    </row>
    <row r="53" spans="1:76" ht="16.5">
      <c r="A53" s="20">
        <f>'[1]coil geom 2'!$A38</f>
        <v>14</v>
      </c>
      <c r="B53" s="5">
        <f>'[2]Bf'!$P20</f>
        <v>-0.7860744857851696</v>
      </c>
      <c r="C53" s="12">
        <f>'[2]Bf'!$O20</f>
        <v>234.15578260976827</v>
      </c>
      <c r="D53" s="6">
        <f>'[2]Br'!$M20</f>
        <v>-0.5627596874814667</v>
      </c>
      <c r="E53" s="19">
        <f t="shared" si="0"/>
        <v>0.96675310346368</v>
      </c>
      <c r="F53" s="19">
        <f t="shared" si="1"/>
        <v>0.37052768596991253</v>
      </c>
      <c r="G53" s="19">
        <f t="shared" si="2"/>
        <v>110.37274692895039</v>
      </c>
      <c r="H53" s="19">
        <f t="shared" si="3"/>
        <v>0.265264995277618</v>
      </c>
      <c r="I53" s="19">
        <f t="shared" si="4"/>
        <v>0.45569319041417866</v>
      </c>
      <c r="J53" s="19">
        <f t="shared" si="5"/>
        <v>1.8227727616567144</v>
      </c>
      <c r="K53" s="3">
        <f t="shared" si="6"/>
        <v>14.847769621229915</v>
      </c>
      <c r="L53" s="3">
        <f t="shared" si="7"/>
        <v>444.2580152032953</v>
      </c>
      <c r="M53" s="3">
        <f t="shared" si="8"/>
        <v>0.8465961070637964</v>
      </c>
      <c r="N53" s="3">
        <f t="shared" si="9"/>
        <v>438.0772538270734</v>
      </c>
      <c r="O53" s="3">
        <f t="shared" si="10"/>
        <v>1456.4989977612513</v>
      </c>
      <c r="P53" s="3">
        <f t="shared" si="22"/>
        <v>2354.528632519914</v>
      </c>
      <c r="Q53" s="5">
        <f t="shared" si="11"/>
        <v>0.018574561822572142</v>
      </c>
      <c r="R53"/>
      <c r="S53" s="24">
        <f t="shared" si="12"/>
        <v>3.3717010416307414</v>
      </c>
      <c r="T53" s="24">
        <f t="shared" si="13"/>
        <v>2.5704688629693777</v>
      </c>
      <c r="U53" s="24">
        <f t="shared" si="14"/>
        <v>1.8227727616567144</v>
      </c>
      <c r="V53" s="24">
        <f t="shared" si="15"/>
        <v>1.2304222891192684</v>
      </c>
      <c r="W53" s="24">
        <f t="shared" si="16"/>
        <v>1.0870260264900065</v>
      </c>
      <c r="X53" s="24">
        <f t="shared" si="17"/>
        <v>1864.5629816860455</v>
      </c>
      <c r="Y53" s="24">
        <f t="shared" si="18"/>
        <v>1667.110023458257</v>
      </c>
      <c r="Z53" s="24">
        <f t="shared" si="19"/>
        <v>1431.6655039919583</v>
      </c>
      <c r="AA53" s="24">
        <f t="shared" si="20"/>
        <v>1193.6549168121387</v>
      </c>
      <c r="AB53" s="24">
        <f t="shared" si="21"/>
        <v>1125.5015628578565</v>
      </c>
      <c r="AC53" s="24"/>
      <c r="AD53" s="24"/>
      <c r="AE53" s="24"/>
      <c r="AF53" s="24"/>
      <c r="AG53" s="24"/>
      <c r="BX53" s="2"/>
    </row>
    <row r="54" spans="1:76" ht="16.5">
      <c r="A54" s="16">
        <f>J27</f>
        <v>15.673373548625944</v>
      </c>
      <c r="B54" s="5">
        <f>'[2]Bf'!$P21</f>
        <v>-0.7797235727397585</v>
      </c>
      <c r="C54" s="12">
        <f>'[2]Bf'!$O21</f>
        <v>228.70524440167958</v>
      </c>
      <c r="D54" s="6">
        <f>'[2]Br'!$M21</f>
        <v>-0.6155142377819834</v>
      </c>
      <c r="E54" s="19">
        <f t="shared" si="0"/>
        <v>0.9933914771118129</v>
      </c>
      <c r="F54" s="19">
        <f t="shared" si="1"/>
        <v>0.36753409037933465</v>
      </c>
      <c r="G54" s="19">
        <f t="shared" si="2"/>
        <v>107.80355616388384</v>
      </c>
      <c r="H54" s="19">
        <f t="shared" si="3"/>
        <v>0.2901316228055543</v>
      </c>
      <c r="I54" s="19">
        <f t="shared" si="4"/>
        <v>0.46824957676729334</v>
      </c>
      <c r="J54" s="19">
        <f t="shared" si="5"/>
        <v>1.8729983070691734</v>
      </c>
      <c r="K54" s="3">
        <f t="shared" si="6"/>
        <v>14.608820335515786</v>
      </c>
      <c r="L54" s="3">
        <f t="shared" si="7"/>
        <v>435.4759941763079</v>
      </c>
      <c r="M54" s="3">
        <f t="shared" si="8"/>
        <v>1.0127599393312188</v>
      </c>
      <c r="N54" s="3">
        <f t="shared" si="9"/>
        <v>462.55184052871164</v>
      </c>
      <c r="O54" s="3">
        <f t="shared" si="10"/>
        <v>1477.0894342324386</v>
      </c>
      <c r="P54" s="3">
        <f t="shared" si="22"/>
        <v>2390.738849212305</v>
      </c>
      <c r="Q54" s="5">
        <f>P54*J$33*(A54-A53)</f>
        <v>0.03156019223923819</v>
      </c>
      <c r="R54"/>
      <c r="S54" s="24">
        <f t="shared" si="12"/>
        <v>3.355500500215238</v>
      </c>
      <c r="T54" s="24">
        <f t="shared" si="13"/>
        <v>2.58449073466705</v>
      </c>
      <c r="U54" s="24">
        <f t="shared" si="14"/>
        <v>1.8729983070691734</v>
      </c>
      <c r="V54" s="24">
        <f t="shared" si="15"/>
        <v>1.3209748328629096</v>
      </c>
      <c r="W54" s="24">
        <f t="shared" si="16"/>
        <v>1.179045338356179</v>
      </c>
      <c r="X54" s="24">
        <f t="shared" si="17"/>
        <v>1861.0475462813286</v>
      </c>
      <c r="Y54" s="24">
        <f t="shared" si="18"/>
        <v>1671.0076249997044</v>
      </c>
      <c r="Z54" s="24">
        <f t="shared" si="19"/>
        <v>1449.399510478315</v>
      </c>
      <c r="AA54" s="24">
        <f t="shared" si="20"/>
        <v>1234.1513539003681</v>
      </c>
      <c r="AB54" s="24">
        <f t="shared" si="21"/>
        <v>1169.8411355024775</v>
      </c>
      <c r="AC54" s="24"/>
      <c r="AD54" s="24"/>
      <c r="AE54" s="24"/>
      <c r="AF54" s="24"/>
      <c r="AG54" s="24"/>
      <c r="BX54" s="2"/>
    </row>
    <row r="55" spans="2:76" ht="16.5">
      <c r="B55" s="5"/>
      <c r="E55" s="19"/>
      <c r="F55" s="19"/>
      <c r="G55" s="19"/>
      <c r="H55" s="19"/>
      <c r="I55" s="19"/>
      <c r="J55" s="19"/>
      <c r="K55" s="3"/>
      <c r="L55" s="3"/>
      <c r="M55" s="3"/>
      <c r="N55" s="3"/>
      <c r="O55" s="3"/>
      <c r="P55" s="3">
        <f t="shared" si="22"/>
        <v>0</v>
      </c>
      <c r="R5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BX55" s="2"/>
    </row>
    <row r="56" spans="1:76" ht="16.5">
      <c r="A56" s="16">
        <f>I28</f>
        <v>17.081863443783423</v>
      </c>
      <c r="B56" s="5">
        <f>'[2]Bf'!$P23</f>
        <v>-0.7697157603408762</v>
      </c>
      <c r="C56" s="12">
        <f>'[2]Bf'!$O23</f>
        <v>221.1340494294688</v>
      </c>
      <c r="D56" s="6">
        <f>'[2]Br'!$M23</f>
        <v>-0.471884695094082</v>
      </c>
      <c r="E56" s="19">
        <f aca="true" t="shared" si="23" ref="E56:E75">SQRT(B56^2+D56^2)</f>
        <v>0.9028496647732489</v>
      </c>
      <c r="F56" s="19">
        <f aca="true" t="shared" si="24" ref="F56:F75">-B56*$E$26*(1-$E$28)/$E$27/$E$29</f>
        <v>0.3628167618858714</v>
      </c>
      <c r="G56" s="19">
        <f aca="true" t="shared" si="25" ref="G56:G75">C56*$E$26*(1-$E$28)/$E$27/$E$29</f>
        <v>104.23476287036002</v>
      </c>
      <c r="H56" s="19">
        <f aca="true" t="shared" si="26" ref="H56:H75">-D56*$E$26*(1-$E$28)/$E$27/$E$29</f>
        <v>0.2224297407938166</v>
      </c>
      <c r="I56" s="19">
        <f aca="true" t="shared" si="27" ref="I56:I75">E56*$E$26*(1-$E$28)/$E$27/$E$29</f>
        <v>0.42557137156410507</v>
      </c>
      <c r="J56" s="19">
        <f aca="true" t="shared" si="28" ref="J56:J75">E56*E$26/E$27</f>
        <v>1.70228548625642</v>
      </c>
      <c r="K56" s="3">
        <f aca="true" t="shared" si="29" ref="K56:K75">E$33*E$14/120*E$6*F56^2/E$7*E$4*E$9*(E$9-1)/E$5</f>
        <v>14.236216301895947</v>
      </c>
      <c r="L56" s="3">
        <f aca="true" t="shared" si="30" ref="L56:L75">E$33*E$14/6*F56^2*E$4/E$8/E$5*SQRT(E$6^2+16*E$4^2)*(1+(G56*E$4/F56)^2/15)</f>
        <v>422.3073828609143</v>
      </c>
      <c r="M56" s="3">
        <f aca="true" t="shared" si="31" ref="M56:M75">E$34*E$14*H56^2/8*E$5/E$8/E$4*SQRT(E$6^2+16*E$4^2)</f>
        <v>0.5952536830677416</v>
      </c>
      <c r="N56" s="3">
        <f aca="true" t="shared" si="32" ref="N56:N75">E$33*2*E$14*E$15*I56^2/E$13*E$20</f>
        <v>382.0765964528278</v>
      </c>
      <c r="O56" s="3">
        <f aca="true" t="shared" si="33" ref="O56:O75">(X56+Y56+Z56+AA56+AB56)/5</f>
        <v>1400.4728492401223</v>
      </c>
      <c r="P56" s="3">
        <f t="shared" si="22"/>
        <v>2219.6882985388283</v>
      </c>
      <c r="Q56" s="5">
        <f>P56*J$33*(A57-A56)</f>
        <v>0.016077328049819976</v>
      </c>
      <c r="R56"/>
      <c r="S56" s="24">
        <f aca="true" t="shared" si="34" ref="S56:S75">SQRT(($B56-$C56*0.8*$E$4)^2+$D56^2)*$E$26/$E$27</f>
        <v>3.200162173490859</v>
      </c>
      <c r="T56" s="24">
        <f aca="true" t="shared" si="35" ref="T56:T75">SQRT(($B56-$C56*0.4*$E$4)^2+$D56^2)*$E$26/$E$27</f>
        <v>2.431274634684558</v>
      </c>
      <c r="U56" s="24">
        <f aca="true" t="shared" si="36" ref="U56:U75">SQRT(($B56)^2+$D56^2)*$E$26/$E$27</f>
        <v>1.70228548625642</v>
      </c>
      <c r="V56" s="24">
        <f aca="true" t="shared" si="37" ref="V56:V75">SQRT(($B56+$C56*0.4*$E$4)^2+$D56^2)*$E$26/$E$27</f>
        <v>1.0959363663178252</v>
      </c>
      <c r="W56" s="24">
        <f aca="true" t="shared" si="38" ref="W56:W75">SQRT(($B56+$C56*0.8*$E$4)^2+$D56^2)*$E$26/$E$27</f>
        <v>0.906089551951966</v>
      </c>
      <c r="X56" s="24">
        <f aca="true" t="shared" si="39" ref="X56:X75">$E$35*$E$14*$E$15*$E$17/$E$29*2/3*$E$21/PI()*($E$22*$E$23*LN((S56+$E$23)/($E$28*S56+$E$23))+$E$24*S56*(1-$E$28)+$E$25*S56^2/2*(1-$E$28^2))</f>
        <v>1826.386948799844</v>
      </c>
      <c r="Y56" s="24">
        <f aca="true" t="shared" si="40" ref="Y56:Y75">$E$35*$E$14*$E$15*$E$17/$E$29*2/3*$E$21/PI()*($E$22*$E$23*LN((T56+$E$23)/($E$28*T56+$E$23))+$E$24*T56*(1-$E$28)+$E$25*T56^2/2*(1-$E$28^2))</f>
        <v>1627.4778215420754</v>
      </c>
      <c r="Z56" s="24">
        <f aca="true" t="shared" si="41" ref="Z56:Z75">$E$35*$E$14*$E$15*$E$17/$E$29*2/3*$E$21/PI()*($E$22*$E$23*LN((U56+$E$23)/($E$28*U56+$E$23))+$E$24*U56*(1-$E$28)+$E$25*U56^2/2*(1-$E$28^2))</f>
        <v>1387.7762559801072</v>
      </c>
      <c r="AA56" s="24">
        <f aca="true" t="shared" si="42" ref="AA56:AA75">$E$35*$E$14*$E$15*$E$17/$E$29*2/3*$E$21/PI()*($E$22*$E$23*LN((V56+$E$23)/($E$28*V56+$E$23))+$E$24*V56*(1-$E$28)+$E$25*V56^2/2*(1-$E$28^2))</f>
        <v>1129.896112010138</v>
      </c>
      <c r="AB56" s="24">
        <f aca="true" t="shared" si="43" ref="AB56:AB75">$E$35*$E$14*$E$15*$E$17/$E$29*2/3*$E$21/PI()*($E$22*$E$23*LN((W56+$E$23)/($E$28*W56+$E$23))+$E$24*W56*(1-$E$28)+$E$25*W56^2/2*(1-$E$28^2))</f>
        <v>1030.827107868448</v>
      </c>
      <c r="AC56" s="24"/>
      <c r="AD56" s="24"/>
      <c r="AE56" s="24"/>
      <c r="AF56" s="24"/>
      <c r="AG56" s="24"/>
      <c r="BX56" s="2"/>
    </row>
    <row r="57" spans="1:76" ht="16.5">
      <c r="A57" s="20">
        <f>'[1]coil geom 2'!$A42</f>
        <v>18</v>
      </c>
      <c r="B57" s="5">
        <f>'[2]Bf'!$P24</f>
        <v>-0.7688376834784396</v>
      </c>
      <c r="C57" s="12">
        <f>'[2]Bf'!$O24</f>
        <v>227.4487999096361</v>
      </c>
      <c r="D57" s="6">
        <f>'[2]Br'!$M24</f>
        <v>-0.4725847095030641</v>
      </c>
      <c r="E57" s="19">
        <f t="shared" si="23"/>
        <v>0.9024675568642835</v>
      </c>
      <c r="F57" s="19">
        <f t="shared" si="24"/>
        <v>0.36240286753638445</v>
      </c>
      <c r="G57" s="19">
        <f t="shared" si="25"/>
        <v>107.21131270781811</v>
      </c>
      <c r="H57" s="19">
        <f t="shared" si="26"/>
        <v>0.22275970280606366</v>
      </c>
      <c r="I57" s="19">
        <f t="shared" si="27"/>
        <v>0.42539125942224054</v>
      </c>
      <c r="J57" s="19">
        <f t="shared" si="28"/>
        <v>1.7015650376889624</v>
      </c>
      <c r="K57" s="3">
        <f t="shared" si="29"/>
        <v>14.203754027827683</v>
      </c>
      <c r="L57" s="3">
        <f t="shared" si="30"/>
        <v>424.27422828908556</v>
      </c>
      <c r="M57" s="3">
        <f t="shared" si="31"/>
        <v>0.5970210437163146</v>
      </c>
      <c r="N57" s="3">
        <f t="shared" si="32"/>
        <v>381.75325669689</v>
      </c>
      <c r="O57" s="3">
        <f t="shared" si="33"/>
        <v>1403.551199162707</v>
      </c>
      <c r="P57" s="3">
        <f t="shared" si="22"/>
        <v>2224.3794592202266</v>
      </c>
      <c r="Q57" s="5">
        <f aca="true" t="shared" si="44" ref="Q57:Q74">P57*J$33</f>
        <v>0.01754783238202827</v>
      </c>
      <c r="R57"/>
      <c r="S57" s="24">
        <f t="shared" si="34"/>
        <v>3.2434699869060464</v>
      </c>
      <c r="T57" s="24">
        <f t="shared" si="35"/>
        <v>2.451788219941692</v>
      </c>
      <c r="U57" s="24">
        <f t="shared" si="36"/>
        <v>1.7015650376889624</v>
      </c>
      <c r="V57" s="24">
        <f t="shared" si="37"/>
        <v>1.0827150419579834</v>
      </c>
      <c r="W57" s="24">
        <f t="shared" si="38"/>
        <v>0.9176656957927348</v>
      </c>
      <c r="X57" s="24">
        <f t="shared" si="39"/>
        <v>1836.225141296241</v>
      </c>
      <c r="Y57" s="24">
        <f t="shared" si="40"/>
        <v>1633.427812389796</v>
      </c>
      <c r="Z57" s="24">
        <f t="shared" si="41"/>
        <v>1387.5078471893937</v>
      </c>
      <c r="AA57" s="24">
        <f t="shared" si="42"/>
        <v>1123.3672325150449</v>
      </c>
      <c r="AB57" s="24">
        <f t="shared" si="43"/>
        <v>1037.2279624230598</v>
      </c>
      <c r="AC57" s="24"/>
      <c r="AD57" s="24"/>
      <c r="AE57" s="24"/>
      <c r="AF57" s="24"/>
      <c r="AG57" s="24"/>
      <c r="BX57" s="2"/>
    </row>
    <row r="58" spans="1:76" ht="16.5">
      <c r="A58" s="20">
        <f>'[1]coil geom 2'!$A43</f>
        <v>19</v>
      </c>
      <c r="B58" s="5">
        <f>'[2]Bf'!$P25</f>
        <v>-0.7670354695833996</v>
      </c>
      <c r="C58" s="12">
        <f>'[2]Bf'!$O25</f>
        <v>231.74178888809186</v>
      </c>
      <c r="D58" s="6">
        <f>'[2]Br'!$M25</f>
        <v>-0.5261554631417936</v>
      </c>
      <c r="E58" s="19">
        <f t="shared" si="23"/>
        <v>0.9301521289514859</v>
      </c>
      <c r="F58" s="19">
        <f t="shared" si="24"/>
        <v>0.3615533677037</v>
      </c>
      <c r="G58" s="19">
        <f t="shared" si="25"/>
        <v>109.23487574267821</v>
      </c>
      <c r="H58" s="19">
        <f t="shared" si="26"/>
        <v>0.24801105969445844</v>
      </c>
      <c r="I58" s="19">
        <f t="shared" si="27"/>
        <v>0.43844078668465036</v>
      </c>
      <c r="J58" s="19">
        <f t="shared" si="28"/>
        <v>1.7537631467386017</v>
      </c>
      <c r="K58" s="3">
        <f t="shared" si="29"/>
        <v>14.137242717691013</v>
      </c>
      <c r="L58" s="3">
        <f t="shared" si="30"/>
        <v>424.49023546942743</v>
      </c>
      <c r="M58" s="3">
        <f t="shared" si="31"/>
        <v>0.740045591288728</v>
      </c>
      <c r="N58" s="3">
        <f t="shared" si="32"/>
        <v>405.5342350012254</v>
      </c>
      <c r="O58" s="3">
        <f t="shared" si="33"/>
        <v>1431.3194894417384</v>
      </c>
      <c r="P58" s="3">
        <f t="shared" si="22"/>
        <v>2276.221248221371</v>
      </c>
      <c r="Q58" s="5">
        <f t="shared" si="44"/>
        <v>0.01795680532951964</v>
      </c>
      <c r="R58"/>
      <c r="S58" s="24">
        <f t="shared" si="34"/>
        <v>3.2994528077068814</v>
      </c>
      <c r="T58" s="24">
        <f t="shared" si="35"/>
        <v>2.5016102130493723</v>
      </c>
      <c r="U58" s="24">
        <f t="shared" si="36"/>
        <v>1.7537631467386017</v>
      </c>
      <c r="V58" s="24">
        <f t="shared" si="37"/>
        <v>1.1572741165175564</v>
      </c>
      <c r="W58" s="24">
        <f t="shared" si="38"/>
        <v>1.024132938510403</v>
      </c>
      <c r="X58" s="24">
        <f t="shared" si="39"/>
        <v>1848.741565141525</v>
      </c>
      <c r="Y58" s="24">
        <f t="shared" si="40"/>
        <v>1647.720101825885</v>
      </c>
      <c r="Z58" s="24">
        <f t="shared" si="41"/>
        <v>1406.7674530568513</v>
      </c>
      <c r="AA58" s="24">
        <f t="shared" si="42"/>
        <v>1159.5531534623055</v>
      </c>
      <c r="AB58" s="24">
        <f t="shared" si="43"/>
        <v>1093.8151737221262</v>
      </c>
      <c r="AC58" s="24"/>
      <c r="AD58" s="24"/>
      <c r="AE58" s="24"/>
      <c r="AF58" s="24"/>
      <c r="AG58" s="24"/>
      <c r="BX58" s="2"/>
    </row>
    <row r="59" spans="1:76" ht="16.5">
      <c r="A59" s="20">
        <f>'[1]coil geom 2'!$A44</f>
        <v>20</v>
      </c>
      <c r="B59" s="5">
        <f>'[2]Bf'!$P26</f>
        <v>-0.7645686420397677</v>
      </c>
      <c r="C59" s="12">
        <f>'[2]Bf'!$O26</f>
        <v>234.49299316708385</v>
      </c>
      <c r="D59" s="6">
        <f>'[2]Br'!$M26</f>
        <v>-0.5768430116951416</v>
      </c>
      <c r="E59" s="19">
        <f t="shared" si="23"/>
        <v>0.9577646206307977</v>
      </c>
      <c r="F59" s="19">
        <f t="shared" si="24"/>
        <v>0.3603905925240479</v>
      </c>
      <c r="G59" s="19">
        <f t="shared" si="25"/>
        <v>110.53169604859006</v>
      </c>
      <c r="H59" s="19">
        <f t="shared" si="26"/>
        <v>0.27190337576956947</v>
      </c>
      <c r="I59" s="19">
        <f t="shared" si="27"/>
        <v>0.45145633779438965</v>
      </c>
      <c r="J59" s="19">
        <f t="shared" si="28"/>
        <v>1.8058253511775586</v>
      </c>
      <c r="K59" s="3">
        <f t="shared" si="29"/>
        <v>14.046456665290023</v>
      </c>
      <c r="L59" s="3">
        <f t="shared" si="30"/>
        <v>423.38389378487085</v>
      </c>
      <c r="M59" s="3">
        <f t="shared" si="31"/>
        <v>0.8894992347682411</v>
      </c>
      <c r="N59" s="3">
        <f t="shared" si="32"/>
        <v>429.96899016308043</v>
      </c>
      <c r="O59" s="3">
        <f t="shared" si="33"/>
        <v>1456.4763474089889</v>
      </c>
      <c r="P59" s="3">
        <f t="shared" si="22"/>
        <v>2324.7651872569986</v>
      </c>
      <c r="Q59" s="5">
        <f t="shared" si="44"/>
        <v>0.018339761979217897</v>
      </c>
      <c r="R59"/>
      <c r="S59" s="24">
        <f t="shared" si="34"/>
        <v>3.34412465964379</v>
      </c>
      <c r="T59" s="24">
        <f t="shared" si="35"/>
        <v>2.545944996215278</v>
      </c>
      <c r="U59" s="24">
        <f t="shared" si="36"/>
        <v>1.8058253511775586</v>
      </c>
      <c r="V59" s="24">
        <f t="shared" si="37"/>
        <v>1.2331575588072756</v>
      </c>
      <c r="W59" s="24">
        <f t="shared" si="38"/>
        <v>1.122877117683637</v>
      </c>
      <c r="X59" s="24">
        <f t="shared" si="39"/>
        <v>1858.5679275798695</v>
      </c>
      <c r="Y59" s="24">
        <f t="shared" si="40"/>
        <v>1660.2521128436583</v>
      </c>
      <c r="Z59" s="24">
        <f t="shared" si="41"/>
        <v>1425.608986712626</v>
      </c>
      <c r="AA59" s="24">
        <f t="shared" si="42"/>
        <v>1194.9050868403856</v>
      </c>
      <c r="AB59" s="24">
        <f t="shared" si="43"/>
        <v>1143.047623068405</v>
      </c>
      <c r="AC59" s="24"/>
      <c r="AD59" s="24"/>
      <c r="AE59" s="24"/>
      <c r="AF59" s="24"/>
      <c r="AG59" s="24"/>
      <c r="BX59" s="2"/>
    </row>
    <row r="60" spans="1:76" ht="16.5">
      <c r="A60" s="20">
        <f>'[1]coil geom 2'!$A45</f>
        <v>21</v>
      </c>
      <c r="B60" s="5">
        <f>'[2]Bf'!$P27</f>
        <v>-0.7616067160810989</v>
      </c>
      <c r="C60" s="12">
        <f>'[2]Bf'!$O27</f>
        <v>236.30574107714503</v>
      </c>
      <c r="D60" s="6">
        <f>'[2]Br'!$M27</f>
        <v>-0.62632377474028</v>
      </c>
      <c r="E60" s="19">
        <f t="shared" si="23"/>
        <v>0.986066052952209</v>
      </c>
      <c r="F60" s="19">
        <f t="shared" si="24"/>
        <v>0.35899444547777454</v>
      </c>
      <c r="G60" s="19">
        <f t="shared" si="25"/>
        <v>111.38616124305682</v>
      </c>
      <c r="H60" s="19">
        <f t="shared" si="26"/>
        <v>0.2952268558756917</v>
      </c>
      <c r="I60" s="19">
        <f t="shared" si="27"/>
        <v>0.464796631134673</v>
      </c>
      <c r="J60" s="19">
        <f t="shared" si="28"/>
        <v>1.8591865245386923</v>
      </c>
      <c r="K60" s="3">
        <f t="shared" si="29"/>
        <v>13.937836000899669</v>
      </c>
      <c r="L60" s="3">
        <f t="shared" si="30"/>
        <v>421.3822907665255</v>
      </c>
      <c r="M60" s="3">
        <f t="shared" si="31"/>
        <v>1.0486440632445382</v>
      </c>
      <c r="N60" s="3">
        <f t="shared" si="32"/>
        <v>455.75513398897215</v>
      </c>
      <c r="O60" s="3">
        <f t="shared" si="33"/>
        <v>1480.2338688949094</v>
      </c>
      <c r="P60" s="3">
        <f t="shared" si="22"/>
        <v>2372.3577737145515</v>
      </c>
      <c r="Q60" s="5">
        <f t="shared" si="44"/>
        <v>0.018715213535526142</v>
      </c>
      <c r="R60"/>
      <c r="S60" s="24">
        <f t="shared" si="34"/>
        <v>3.3828509202741803</v>
      </c>
      <c r="T60" s="24">
        <f t="shared" si="35"/>
        <v>2.5881241526698906</v>
      </c>
      <c r="U60" s="24">
        <f t="shared" si="36"/>
        <v>1.8591865245386923</v>
      </c>
      <c r="V60" s="24">
        <f t="shared" si="37"/>
        <v>1.310818087676141</v>
      </c>
      <c r="W60" s="24">
        <f t="shared" si="38"/>
        <v>1.2179471283644718</v>
      </c>
      <c r="X60" s="24">
        <f t="shared" si="39"/>
        <v>1866.9716650653013</v>
      </c>
      <c r="Y60" s="24">
        <f t="shared" si="40"/>
        <v>1672.014815222755</v>
      </c>
      <c r="Z60" s="24">
        <f t="shared" si="41"/>
        <v>1444.5544072383395</v>
      </c>
      <c r="AA60" s="24">
        <f t="shared" si="42"/>
        <v>1229.6976181216783</v>
      </c>
      <c r="AB60" s="24">
        <f t="shared" si="43"/>
        <v>1187.9308388264724</v>
      </c>
      <c r="AC60" s="24"/>
      <c r="AD60" s="24"/>
      <c r="AE60" s="24"/>
      <c r="AF60" s="24"/>
      <c r="AG60" s="24"/>
      <c r="BX60" s="2"/>
    </row>
    <row r="61" spans="1:76" ht="16.5">
      <c r="A61" s="20">
        <f>'[1]coil geom 2'!$A46</f>
        <v>22</v>
      </c>
      <c r="B61" s="5">
        <f>'[2]Bf'!$P28</f>
        <v>-0.7579205845403099</v>
      </c>
      <c r="C61" s="12">
        <f>'[2]Bf'!$O28</f>
        <v>237.4021344915991</v>
      </c>
      <c r="D61" s="6">
        <f>'[2]Br'!$M28</f>
        <v>-0.6748782498644672</v>
      </c>
      <c r="E61" s="19">
        <f t="shared" si="23"/>
        <v>1.0148419899718633</v>
      </c>
      <c r="F61" s="19">
        <f t="shared" si="24"/>
        <v>0.35725693355659194</v>
      </c>
      <c r="G61" s="19">
        <f t="shared" si="25"/>
        <v>111.90296228687205</v>
      </c>
      <c r="H61" s="19">
        <f t="shared" si="26"/>
        <v>0.3181137166459897</v>
      </c>
      <c r="I61" s="19">
        <f t="shared" si="27"/>
        <v>0.478360589192488</v>
      </c>
      <c r="J61" s="19">
        <f t="shared" si="28"/>
        <v>1.913442356769952</v>
      </c>
      <c r="K61" s="3">
        <f t="shared" si="29"/>
        <v>13.803245888388233</v>
      </c>
      <c r="L61" s="3">
        <f t="shared" si="30"/>
        <v>418.3666518306916</v>
      </c>
      <c r="M61" s="3">
        <f t="shared" si="31"/>
        <v>1.217534205549449</v>
      </c>
      <c r="N61" s="3">
        <f t="shared" si="32"/>
        <v>482.7434730954769</v>
      </c>
      <c r="O61" s="3">
        <f t="shared" si="33"/>
        <v>1502.8029101258721</v>
      </c>
      <c r="P61" s="3">
        <f t="shared" si="22"/>
        <v>2418.9338151459783</v>
      </c>
      <c r="Q61" s="5">
        <f t="shared" si="44"/>
        <v>0.019082645703931256</v>
      </c>
      <c r="R61"/>
      <c r="S61" s="24">
        <f t="shared" si="34"/>
        <v>3.4169030152062003</v>
      </c>
      <c r="T61" s="24">
        <f t="shared" si="35"/>
        <v>2.6285949098760217</v>
      </c>
      <c r="U61" s="24">
        <f t="shared" si="36"/>
        <v>1.913442356769952</v>
      </c>
      <c r="V61" s="24">
        <f t="shared" si="37"/>
        <v>1.3894162704858732</v>
      </c>
      <c r="W61" s="24">
        <f t="shared" si="38"/>
        <v>1.3104041209698287</v>
      </c>
      <c r="X61" s="24">
        <f t="shared" si="39"/>
        <v>1874.2736293261125</v>
      </c>
      <c r="Y61" s="24">
        <f t="shared" si="40"/>
        <v>1683.1566713769607</v>
      </c>
      <c r="Z61" s="24">
        <f t="shared" si="41"/>
        <v>1463.4518458623015</v>
      </c>
      <c r="AA61" s="24">
        <f t="shared" si="42"/>
        <v>1263.6167690073191</v>
      </c>
      <c r="AB61" s="24">
        <f t="shared" si="43"/>
        <v>1229.5156350566672</v>
      </c>
      <c r="AC61" s="24"/>
      <c r="AD61" s="24"/>
      <c r="AE61" s="24"/>
      <c r="AF61" s="24"/>
      <c r="AG61" s="24"/>
      <c r="BX61" s="2"/>
    </row>
    <row r="62" spans="1:76" ht="16.5">
      <c r="A62" s="20">
        <f>'[1]coil geom 2'!$A47</f>
        <v>23</v>
      </c>
      <c r="B62" s="5">
        <f>'[2]Bf'!$P29</f>
        <v>-0.7536309780371777</v>
      </c>
      <c r="C62" s="12">
        <f>'[2]Bf'!$O29</f>
        <v>237.89539745988625</v>
      </c>
      <c r="D62" s="6">
        <f>'[2]Br'!$M29</f>
        <v>-0.7229495947682708</v>
      </c>
      <c r="E62" s="19">
        <f t="shared" si="23"/>
        <v>1.044325508466053</v>
      </c>
      <c r="F62" s="19">
        <f t="shared" si="24"/>
        <v>0.3552349649008615</v>
      </c>
      <c r="G62" s="19">
        <f t="shared" si="25"/>
        <v>112.1354689888693</v>
      </c>
      <c r="H62" s="19">
        <f t="shared" si="26"/>
        <v>0.3407728469329582</v>
      </c>
      <c r="I62" s="19">
        <f t="shared" si="27"/>
        <v>0.4922580761093815</v>
      </c>
      <c r="J62" s="19">
        <f t="shared" si="28"/>
        <v>1.9690323044375262</v>
      </c>
      <c r="K62" s="3">
        <f t="shared" si="29"/>
        <v>13.647443453185172</v>
      </c>
      <c r="L62" s="3">
        <f t="shared" si="30"/>
        <v>414.5107389208941</v>
      </c>
      <c r="M62" s="3">
        <f t="shared" si="31"/>
        <v>1.3971606475341871</v>
      </c>
      <c r="N62" s="3">
        <f t="shared" si="32"/>
        <v>511.20056647122243</v>
      </c>
      <c r="O62" s="3">
        <f t="shared" si="33"/>
        <v>1524.51993027864</v>
      </c>
      <c r="P62" s="3">
        <f t="shared" si="22"/>
        <v>2465.275839771476</v>
      </c>
      <c r="Q62" s="5">
        <f t="shared" si="44"/>
        <v>0.019448231745018477</v>
      </c>
      <c r="R62"/>
      <c r="S62" s="24">
        <f t="shared" si="34"/>
        <v>3.447576590216373</v>
      </c>
      <c r="T62" s="24">
        <f t="shared" si="35"/>
        <v>2.6682479931877547</v>
      </c>
      <c r="U62" s="24">
        <f t="shared" si="36"/>
        <v>1.9690323044375262</v>
      </c>
      <c r="V62" s="24">
        <f t="shared" si="37"/>
        <v>1.4691517735455972</v>
      </c>
      <c r="W62" s="24">
        <f t="shared" si="38"/>
        <v>1.4012506936773805</v>
      </c>
      <c r="X62" s="24">
        <f t="shared" si="39"/>
        <v>1880.781472568825</v>
      </c>
      <c r="Y62" s="24">
        <f t="shared" si="40"/>
        <v>1693.9381767631803</v>
      </c>
      <c r="Z62" s="24">
        <f t="shared" si="41"/>
        <v>1482.4457187875132</v>
      </c>
      <c r="AA62" s="24">
        <f t="shared" si="42"/>
        <v>1296.8156469267108</v>
      </c>
      <c r="AB62" s="24">
        <f t="shared" si="43"/>
        <v>1268.618636346972</v>
      </c>
      <c r="AC62" s="24"/>
      <c r="AD62" s="24"/>
      <c r="AE62" s="24"/>
      <c r="AF62" s="24"/>
      <c r="AG62" s="24"/>
      <c r="BX62" s="2"/>
    </row>
    <row r="63" spans="1:76" ht="16.5">
      <c r="A63" s="20">
        <f>'[1]coil geom 2'!$A48</f>
        <v>24</v>
      </c>
      <c r="B63" s="5">
        <f>'[2]Bf'!$P30</f>
        <v>-0.7488749448917655</v>
      </c>
      <c r="C63" s="12">
        <f>'[2]Bf'!$O30</f>
        <v>237.88242897712766</v>
      </c>
      <c r="D63" s="6">
        <f>'[2]Br'!$M30</f>
        <v>-0.770882918956559</v>
      </c>
      <c r="E63" s="19">
        <f t="shared" si="23"/>
        <v>1.074743763799367</v>
      </c>
      <c r="F63" s="19">
        <f t="shared" si="24"/>
        <v>0.35299313923722153</v>
      </c>
      <c r="G63" s="19">
        <f t="shared" si="25"/>
        <v>112.12935610517448</v>
      </c>
      <c r="H63" s="19">
        <f t="shared" si="26"/>
        <v>0.3633669191404944</v>
      </c>
      <c r="I63" s="19">
        <f t="shared" si="27"/>
        <v>0.5065961648830389</v>
      </c>
      <c r="J63" s="19">
        <f t="shared" si="28"/>
        <v>2.0263846595321557</v>
      </c>
      <c r="K63" s="3">
        <f t="shared" si="29"/>
        <v>13.47573373117257</v>
      </c>
      <c r="L63" s="3">
        <f t="shared" si="30"/>
        <v>409.997879186855</v>
      </c>
      <c r="M63" s="3">
        <f t="shared" si="31"/>
        <v>1.5885729131617001</v>
      </c>
      <c r="N63" s="3">
        <f t="shared" si="32"/>
        <v>541.4139253445086</v>
      </c>
      <c r="O63" s="3">
        <f t="shared" si="33"/>
        <v>1545.6562745184715</v>
      </c>
      <c r="P63" s="3">
        <f t="shared" si="22"/>
        <v>2512.1323856941694</v>
      </c>
      <c r="Q63" s="5">
        <f t="shared" si="44"/>
        <v>0.019817876775880466</v>
      </c>
      <c r="R63"/>
      <c r="S63" s="24">
        <f t="shared" si="34"/>
        <v>3.476064014296386</v>
      </c>
      <c r="T63" s="24">
        <f t="shared" si="35"/>
        <v>2.707918397301644</v>
      </c>
      <c r="U63" s="24">
        <f t="shared" si="36"/>
        <v>2.0263846595321557</v>
      </c>
      <c r="V63" s="24">
        <f t="shared" si="37"/>
        <v>1.5502449023667009</v>
      </c>
      <c r="W63" s="24">
        <f t="shared" si="38"/>
        <v>1.4912730981362134</v>
      </c>
      <c r="X63" s="24">
        <f t="shared" si="39"/>
        <v>1886.7666800363577</v>
      </c>
      <c r="Y63" s="24">
        <f t="shared" si="40"/>
        <v>1704.5922272509306</v>
      </c>
      <c r="Z63" s="24">
        <f t="shared" si="41"/>
        <v>1501.665160483592</v>
      </c>
      <c r="AA63" s="24">
        <f t="shared" si="42"/>
        <v>1329.4332826415252</v>
      </c>
      <c r="AB63" s="24">
        <f t="shared" si="43"/>
        <v>1305.8240221799524</v>
      </c>
      <c r="AC63" s="24"/>
      <c r="AD63" s="24"/>
      <c r="AE63" s="24"/>
      <c r="AF63" s="24"/>
      <c r="AG63" s="24"/>
      <c r="BX63" s="2"/>
    </row>
    <row r="64" spans="1:76" ht="16.5">
      <c r="A64" s="20">
        <f>'[1]coil geom 2'!$A49</f>
        <v>25</v>
      </c>
      <c r="B64" s="5">
        <f>'[2]Bf'!$P31</f>
        <v>-0.7435059454395301</v>
      </c>
      <c r="C64" s="12">
        <f>'[2]Bf'!$O31</f>
        <v>237.38808390302393</v>
      </c>
      <c r="D64" s="6">
        <f>'[2]Br'!$M31</f>
        <v>-0.8189315282179058</v>
      </c>
      <c r="E64" s="19">
        <f t="shared" si="23"/>
        <v>1.1060967131373476</v>
      </c>
      <c r="F64" s="19">
        <f t="shared" si="24"/>
        <v>0.3504623829552345</v>
      </c>
      <c r="G64" s="19">
        <f t="shared" si="25"/>
        <v>111.89633933680128</v>
      </c>
      <c r="H64" s="19">
        <f t="shared" si="26"/>
        <v>0.3860153326504387</v>
      </c>
      <c r="I64" s="19">
        <f t="shared" si="27"/>
        <v>0.5213748353228128</v>
      </c>
      <c r="J64" s="19">
        <f t="shared" si="28"/>
        <v>2.0854993412912517</v>
      </c>
      <c r="K64" s="3">
        <f t="shared" si="29"/>
        <v>13.28319998599634</v>
      </c>
      <c r="L64" s="3">
        <f t="shared" si="30"/>
        <v>404.7108086609632</v>
      </c>
      <c r="M64" s="3">
        <f t="shared" si="31"/>
        <v>1.7927737739915806</v>
      </c>
      <c r="N64" s="3">
        <f t="shared" si="32"/>
        <v>573.4634692912695</v>
      </c>
      <c r="O64" s="3">
        <f t="shared" si="33"/>
        <v>1566.3215951483928</v>
      </c>
      <c r="P64" s="3">
        <f t="shared" si="22"/>
        <v>2559.5718468606137</v>
      </c>
      <c r="Q64" s="5">
        <f t="shared" si="44"/>
        <v>0.020192120347224327</v>
      </c>
      <c r="R64"/>
      <c r="S64" s="24">
        <f t="shared" si="34"/>
        <v>3.502560373813842</v>
      </c>
      <c r="T64" s="24">
        <f t="shared" si="35"/>
        <v>2.7477218585156424</v>
      </c>
      <c r="U64" s="24">
        <f t="shared" si="36"/>
        <v>2.0854993412912517</v>
      </c>
      <c r="V64" s="24">
        <f t="shared" si="37"/>
        <v>1.6327661940693563</v>
      </c>
      <c r="W64" s="24">
        <f t="shared" si="38"/>
        <v>1.5810848293728936</v>
      </c>
      <c r="X64" s="24">
        <f t="shared" si="39"/>
        <v>1892.2829650706574</v>
      </c>
      <c r="Y64" s="24">
        <f t="shared" si="40"/>
        <v>1715.1508493929032</v>
      </c>
      <c r="Z64" s="24">
        <f t="shared" si="41"/>
        <v>1521.0888801982373</v>
      </c>
      <c r="AA64" s="24">
        <f t="shared" si="42"/>
        <v>1361.531647524782</v>
      </c>
      <c r="AB64" s="24">
        <f t="shared" si="43"/>
        <v>1341.5536335553843</v>
      </c>
      <c r="AC64" s="24"/>
      <c r="AD64" s="24"/>
      <c r="AE64" s="24"/>
      <c r="AF64" s="24"/>
      <c r="AG64" s="24"/>
      <c r="BX64" s="2"/>
    </row>
    <row r="65" spans="1:76" ht="16.5">
      <c r="A65" s="20">
        <f>'[1]coil geom 2'!$A50</f>
        <v>26</v>
      </c>
      <c r="B65" s="5">
        <f>'[2]Bf'!$P32</f>
        <v>-0.7379026729240881</v>
      </c>
      <c r="C65" s="12">
        <f>'[2]Bf'!$O32</f>
        <v>236.44602626135057</v>
      </c>
      <c r="D65" s="6">
        <f>'[2]Br'!$M32</f>
        <v>-0.8674766866019769</v>
      </c>
      <c r="E65" s="19">
        <f t="shared" si="23"/>
        <v>1.1388661714646098</v>
      </c>
      <c r="F65" s="19">
        <f t="shared" si="24"/>
        <v>0.3478211986443969</v>
      </c>
      <c r="G65" s="19">
        <f t="shared" si="25"/>
        <v>111.45228671286851</v>
      </c>
      <c r="H65" s="19">
        <f t="shared" si="26"/>
        <v>0.4088978018392537</v>
      </c>
      <c r="I65" s="19">
        <f t="shared" si="27"/>
        <v>0.5368211979564504</v>
      </c>
      <c r="J65" s="19">
        <f t="shared" si="28"/>
        <v>2.147284791825802</v>
      </c>
      <c r="K65" s="3">
        <f t="shared" si="29"/>
        <v>13.083742458272562</v>
      </c>
      <c r="L65" s="3">
        <f t="shared" si="30"/>
        <v>399.0316165971502</v>
      </c>
      <c r="M65" s="3">
        <f t="shared" si="31"/>
        <v>2.0116199381886144</v>
      </c>
      <c r="N65" s="3">
        <f t="shared" si="32"/>
        <v>607.9459087296252</v>
      </c>
      <c r="O65" s="3">
        <f t="shared" si="33"/>
        <v>1586.8155845799374</v>
      </c>
      <c r="P65" s="3">
        <f t="shared" si="22"/>
        <v>2608.8884723031742</v>
      </c>
      <c r="Q65" s="5">
        <f t="shared" si="44"/>
        <v>0.020581172616757824</v>
      </c>
      <c r="R65"/>
      <c r="S65" s="24">
        <f t="shared" si="34"/>
        <v>3.5283668954227903</v>
      </c>
      <c r="T65" s="24">
        <f t="shared" si="35"/>
        <v>2.788811365145674</v>
      </c>
      <c r="U65" s="24">
        <f t="shared" si="36"/>
        <v>2.147284791825802</v>
      </c>
      <c r="V65" s="24">
        <f t="shared" si="37"/>
        <v>1.7173998920570475</v>
      </c>
      <c r="W65" s="24">
        <f t="shared" si="38"/>
        <v>1.6713348157862382</v>
      </c>
      <c r="X65" s="24">
        <f t="shared" si="39"/>
        <v>1897.6089566490532</v>
      </c>
      <c r="Y65" s="24">
        <f t="shared" si="40"/>
        <v>1725.9145185025943</v>
      </c>
      <c r="Z65" s="24">
        <f t="shared" si="41"/>
        <v>1540.985383731219</v>
      </c>
      <c r="AA65" s="24">
        <f t="shared" si="42"/>
        <v>1393.3904069431194</v>
      </c>
      <c r="AB65" s="24">
        <f t="shared" si="43"/>
        <v>1376.1786570737017</v>
      </c>
      <c r="AC65" s="24"/>
      <c r="AD65" s="24"/>
      <c r="AE65" s="24"/>
      <c r="AF65" s="24"/>
      <c r="AG65" s="24"/>
      <c r="BX65" s="2"/>
    </row>
    <row r="66" spans="1:76" ht="16.5">
      <c r="A66" s="20">
        <f>'[1]coil geom 2'!$A51</f>
        <v>27</v>
      </c>
      <c r="B66" s="5">
        <f>'[2]Bf'!$P33</f>
        <v>-0.7316515309435765</v>
      </c>
      <c r="C66" s="12">
        <f>'[2]Bf'!$O33</f>
        <v>235.02302523518713</v>
      </c>
      <c r="D66" s="6">
        <f>'[2]Br'!$M33</f>
        <v>-0.9167679179694548</v>
      </c>
      <c r="E66" s="19">
        <f t="shared" si="23"/>
        <v>1.17293536827488</v>
      </c>
      <c r="F66" s="19">
        <f t="shared" si="24"/>
        <v>0.34487463160196863</v>
      </c>
      <c r="G66" s="19">
        <f t="shared" si="25"/>
        <v>110.78153440263355</v>
      </c>
      <c r="H66" s="19">
        <f t="shared" si="26"/>
        <v>0.43213194342185</v>
      </c>
      <c r="I66" s="19">
        <f t="shared" si="27"/>
        <v>0.5528802113009098</v>
      </c>
      <c r="J66" s="19">
        <f t="shared" si="28"/>
        <v>2.211520845203639</v>
      </c>
      <c r="K66" s="3">
        <f t="shared" si="29"/>
        <v>12.86300359979238</v>
      </c>
      <c r="L66" s="3">
        <f t="shared" si="30"/>
        <v>392.57044601436246</v>
      </c>
      <c r="M66" s="3">
        <f t="shared" si="31"/>
        <v>2.246720879127812</v>
      </c>
      <c r="N66" s="3">
        <f t="shared" si="32"/>
        <v>644.8633844485012</v>
      </c>
      <c r="O66" s="3">
        <f t="shared" si="33"/>
        <v>1607.1435418989233</v>
      </c>
      <c r="P66" s="3">
        <f t="shared" si="22"/>
        <v>2659.6870968407075</v>
      </c>
      <c r="Q66" s="5">
        <f t="shared" si="44"/>
        <v>0.020981916179160037</v>
      </c>
      <c r="R66"/>
      <c r="S66" s="24">
        <f t="shared" si="34"/>
        <v>3.552960352146298</v>
      </c>
      <c r="T66" s="24">
        <f t="shared" si="35"/>
        <v>2.8308256922926085</v>
      </c>
      <c r="U66" s="24">
        <f t="shared" si="36"/>
        <v>2.211520845203639</v>
      </c>
      <c r="V66" s="24">
        <f t="shared" si="37"/>
        <v>1.804238983561329</v>
      </c>
      <c r="W66" s="24">
        <f t="shared" si="38"/>
        <v>1.762650187428161</v>
      </c>
      <c r="X66" s="24">
        <f t="shared" si="39"/>
        <v>1902.6419038806487</v>
      </c>
      <c r="Y66" s="24">
        <f t="shared" si="40"/>
        <v>1736.7792335517822</v>
      </c>
      <c r="Z66" s="24">
        <f t="shared" si="41"/>
        <v>1561.2471112140518</v>
      </c>
      <c r="AA66" s="24">
        <f t="shared" si="42"/>
        <v>1425.040157775793</v>
      </c>
      <c r="AB66" s="24">
        <f t="shared" si="43"/>
        <v>1410.009303072341</v>
      </c>
      <c r="AC66" s="24"/>
      <c r="AD66" s="24"/>
      <c r="AE66" s="24"/>
      <c r="AF66" s="24"/>
      <c r="AG66" s="24"/>
      <c r="BX66" s="2"/>
    </row>
    <row r="67" spans="1:76" ht="16.5">
      <c r="A67" s="20">
        <f>'[1]coil geom 2'!$A52</f>
        <v>28</v>
      </c>
      <c r="B67" s="5">
        <f>'[2]Bf'!$P34</f>
        <v>-0.725054795017682</v>
      </c>
      <c r="C67" s="12">
        <f>'[2]Bf'!$O34</f>
        <v>233.10995497958777</v>
      </c>
      <c r="D67" s="6">
        <f>'[2]Br'!$M34</f>
        <v>-0.9671283960386144</v>
      </c>
      <c r="E67" s="19">
        <f t="shared" si="23"/>
        <v>1.208735616337318</v>
      </c>
      <c r="F67" s="19">
        <f t="shared" si="24"/>
        <v>0.3417651638075333</v>
      </c>
      <c r="G67" s="19">
        <f t="shared" si="25"/>
        <v>109.87978080583915</v>
      </c>
      <c r="H67" s="19">
        <f t="shared" si="26"/>
        <v>0.4558700900488401</v>
      </c>
      <c r="I67" s="19">
        <f t="shared" si="27"/>
        <v>0.569755180927324</v>
      </c>
      <c r="J67" s="19">
        <f t="shared" si="28"/>
        <v>2.279020723709296</v>
      </c>
      <c r="K67" s="3">
        <f t="shared" si="29"/>
        <v>12.63209775547255</v>
      </c>
      <c r="L67" s="3">
        <f t="shared" si="30"/>
        <v>385.6188580057312</v>
      </c>
      <c r="M67" s="3">
        <f t="shared" si="31"/>
        <v>2.5003371708135447</v>
      </c>
      <c r="N67" s="3">
        <f t="shared" si="32"/>
        <v>684.8290781735586</v>
      </c>
      <c r="O67" s="3">
        <f t="shared" si="33"/>
        <v>1627.5251840055128</v>
      </c>
      <c r="P67" s="3">
        <f t="shared" si="22"/>
        <v>2713.1055551110885</v>
      </c>
      <c r="Q67" s="5">
        <f t="shared" si="44"/>
        <v>0.021403327259877186</v>
      </c>
      <c r="R67"/>
      <c r="S67" s="24">
        <f t="shared" si="34"/>
        <v>3.5773073123980024</v>
      </c>
      <c r="T67" s="24">
        <f t="shared" si="35"/>
        <v>2.8747149832783188</v>
      </c>
      <c r="U67" s="24">
        <f t="shared" si="36"/>
        <v>2.279020723709296</v>
      </c>
      <c r="V67" s="24">
        <f t="shared" si="37"/>
        <v>1.893931170705777</v>
      </c>
      <c r="W67" s="24">
        <f t="shared" si="38"/>
        <v>1.8555607497218738</v>
      </c>
      <c r="X67" s="24">
        <f t="shared" si="39"/>
        <v>1907.5835264747252</v>
      </c>
      <c r="Y67" s="24">
        <f t="shared" si="40"/>
        <v>1747.9781752101906</v>
      </c>
      <c r="Z67" s="24">
        <f t="shared" si="41"/>
        <v>1582.0880349699164</v>
      </c>
      <c r="AA67" s="24">
        <f t="shared" si="42"/>
        <v>1456.6976288036487</v>
      </c>
      <c r="AB67" s="24">
        <f t="shared" si="43"/>
        <v>1443.2785545690836</v>
      </c>
      <c r="AC67" s="24"/>
      <c r="AD67" s="24"/>
      <c r="AE67" s="24"/>
      <c r="AF67" s="24"/>
      <c r="AG67" s="24"/>
      <c r="BX67" s="2"/>
    </row>
    <row r="68" spans="1:76" ht="16.5">
      <c r="A68" s="20">
        <f>'[1]coil geom 2'!$A53</f>
        <v>29</v>
      </c>
      <c r="B68" s="5">
        <f>'[2]Bf'!$P35</f>
        <v>-0.7179155992224899</v>
      </c>
      <c r="C68" s="12">
        <f>'[2]Bf'!$O35</f>
        <v>230.61392478009316</v>
      </c>
      <c r="D68" s="6">
        <f>'[2]Br'!$M35</f>
        <v>-1.0189111298928748</v>
      </c>
      <c r="E68" s="19">
        <f t="shared" si="23"/>
        <v>1.246427975547148</v>
      </c>
      <c r="F68" s="19">
        <f t="shared" si="24"/>
        <v>0.33839999963350925</v>
      </c>
      <c r="G68" s="19">
        <f t="shared" si="25"/>
        <v>108.70324052797224</v>
      </c>
      <c r="H68" s="19">
        <f t="shared" si="26"/>
        <v>0.4802786377058095</v>
      </c>
      <c r="I68" s="19">
        <f t="shared" si="27"/>
        <v>0.5875220247688653</v>
      </c>
      <c r="J68" s="19">
        <f t="shared" si="28"/>
        <v>2.350088099075461</v>
      </c>
      <c r="K68" s="3">
        <f t="shared" si="29"/>
        <v>12.38456052174722</v>
      </c>
      <c r="L68" s="3">
        <f t="shared" si="30"/>
        <v>377.970141449823</v>
      </c>
      <c r="M68" s="3">
        <f t="shared" si="31"/>
        <v>2.775255167276298</v>
      </c>
      <c r="N68" s="3">
        <f t="shared" si="32"/>
        <v>728.2054587538726</v>
      </c>
      <c r="O68" s="3">
        <f t="shared" si="33"/>
        <v>1648.0365059335495</v>
      </c>
      <c r="P68" s="3">
        <f t="shared" si="22"/>
        <v>2769.3719218262686</v>
      </c>
      <c r="Q68" s="5">
        <f t="shared" si="44"/>
        <v>0.021847205109841613</v>
      </c>
      <c r="R68"/>
      <c r="S68" s="24">
        <f t="shared" si="34"/>
        <v>3.6011303058637605</v>
      </c>
      <c r="T68" s="24">
        <f t="shared" si="35"/>
        <v>2.9205416761665615</v>
      </c>
      <c r="U68" s="24">
        <f t="shared" si="36"/>
        <v>2.350088099075461</v>
      </c>
      <c r="V68" s="24">
        <f t="shared" si="37"/>
        <v>1.9870054487548352</v>
      </c>
      <c r="W68" s="24">
        <f t="shared" si="38"/>
        <v>1.9507417620283969</v>
      </c>
      <c r="X68" s="24">
        <f t="shared" si="39"/>
        <v>1912.379575316267</v>
      </c>
      <c r="Y68" s="24">
        <f t="shared" si="40"/>
        <v>1759.509208785319</v>
      </c>
      <c r="Z68" s="24">
        <f t="shared" si="41"/>
        <v>1603.5479585642695</v>
      </c>
      <c r="AA68" s="24">
        <f t="shared" si="42"/>
        <v>1488.5092394361072</v>
      </c>
      <c r="AB68" s="24">
        <f t="shared" si="43"/>
        <v>1476.2365475657841</v>
      </c>
      <c r="AC68" s="24"/>
      <c r="AD68" s="24"/>
      <c r="AE68" s="24"/>
      <c r="AF68" s="24"/>
      <c r="AG68" s="24"/>
      <c r="BX68" s="2"/>
    </row>
    <row r="69" spans="1:76" ht="16.5">
      <c r="A69" s="20">
        <f>'[1]coil geom 2'!$A54</f>
        <v>30</v>
      </c>
      <c r="B69" s="5">
        <f>'[2]Bf'!$P36</f>
        <v>-0.7102502150156997</v>
      </c>
      <c r="C69" s="12">
        <f>'[2]Bf'!$O36</f>
        <v>227.50587821073148</v>
      </c>
      <c r="D69" s="6">
        <f>'[2]Br'!$M36</f>
        <v>-1.072381236051545</v>
      </c>
      <c r="E69" s="19">
        <f t="shared" si="23"/>
        <v>1.2862569274314084</v>
      </c>
      <c r="F69" s="19">
        <f t="shared" si="24"/>
        <v>0.33478680886905476</v>
      </c>
      <c r="G69" s="19">
        <f t="shared" si="25"/>
        <v>107.23821739841219</v>
      </c>
      <c r="H69" s="19">
        <f t="shared" si="26"/>
        <v>0.5054825529349729</v>
      </c>
      <c r="I69" s="19">
        <f t="shared" si="27"/>
        <v>0.6062959827628603</v>
      </c>
      <c r="J69" s="19">
        <f t="shared" si="28"/>
        <v>2.4251839310514414</v>
      </c>
      <c r="K69" s="3">
        <f t="shared" si="29"/>
        <v>12.121505631011953</v>
      </c>
      <c r="L69" s="3">
        <f t="shared" si="30"/>
        <v>369.64905812588216</v>
      </c>
      <c r="M69" s="3">
        <f t="shared" si="31"/>
        <v>3.0741759466975376</v>
      </c>
      <c r="N69" s="3">
        <f t="shared" si="32"/>
        <v>775.4878675688146</v>
      </c>
      <c r="O69" s="3">
        <f t="shared" si="33"/>
        <v>1668.78832242289</v>
      </c>
      <c r="P69" s="3">
        <f t="shared" si="22"/>
        <v>2829.120929695296</v>
      </c>
      <c r="Q69" s="5">
        <f t="shared" si="44"/>
        <v>0.022318557050596242</v>
      </c>
      <c r="R69"/>
      <c r="S69" s="24">
        <f t="shared" si="34"/>
        <v>3.624923049223789</v>
      </c>
      <c r="T69" s="24">
        <f t="shared" si="35"/>
        <v>2.9688377229198224</v>
      </c>
      <c r="U69" s="24">
        <f t="shared" si="36"/>
        <v>2.4251839310514414</v>
      </c>
      <c r="V69" s="24">
        <f t="shared" si="37"/>
        <v>2.0838968630882357</v>
      </c>
      <c r="W69" s="24">
        <f t="shared" si="38"/>
        <v>2.0487373025130275</v>
      </c>
      <c r="X69" s="24">
        <f t="shared" si="39"/>
        <v>1917.1309468963093</v>
      </c>
      <c r="Y69" s="24">
        <f t="shared" si="40"/>
        <v>1771.4843784454345</v>
      </c>
      <c r="Z69" s="24">
        <f t="shared" si="41"/>
        <v>1625.7037942930879</v>
      </c>
      <c r="AA69" s="24">
        <f t="shared" si="42"/>
        <v>1520.5673970099006</v>
      </c>
      <c r="AB69" s="24">
        <f t="shared" si="43"/>
        <v>1509.055095469717</v>
      </c>
      <c r="AC69" s="24"/>
      <c r="AD69" s="24"/>
      <c r="AE69" s="24"/>
      <c r="AF69" s="24"/>
      <c r="AG69" s="24"/>
      <c r="BX69" s="2"/>
    </row>
    <row r="70" spans="1:76" ht="16.5">
      <c r="A70" s="20">
        <f>'[1]coil geom 2'!$A55</f>
        <v>31</v>
      </c>
      <c r="B70" s="5">
        <f>'[2]Bf'!$P37</f>
        <v>-0.7022009474414048</v>
      </c>
      <c r="C70" s="12">
        <f>'[2]Bf'!$O37</f>
        <v>223.56423801738163</v>
      </c>
      <c r="D70" s="6">
        <f>'[2]Br'!$M37</f>
        <v>-1.1280864983109464</v>
      </c>
      <c r="E70" s="19">
        <f t="shared" si="23"/>
        <v>1.3287833977962924</v>
      </c>
      <c r="F70" s="19">
        <f t="shared" si="24"/>
        <v>0.3309926690744307</v>
      </c>
      <c r="G70" s="19">
        <f t="shared" si="25"/>
        <v>105.38026774328617</v>
      </c>
      <c r="H70" s="19">
        <f t="shared" si="26"/>
        <v>0.531740041626654</v>
      </c>
      <c r="I70" s="19">
        <f t="shared" si="27"/>
        <v>0.6263414554778658</v>
      </c>
      <c r="J70" s="19">
        <f t="shared" si="28"/>
        <v>2.505365821911463</v>
      </c>
      <c r="K70" s="3">
        <f t="shared" si="29"/>
        <v>11.848316369155931</v>
      </c>
      <c r="L70" s="3">
        <f t="shared" si="30"/>
        <v>360.7096173700073</v>
      </c>
      <c r="M70" s="3">
        <f t="shared" si="31"/>
        <v>3.4018496093538926</v>
      </c>
      <c r="N70" s="3">
        <f t="shared" si="32"/>
        <v>827.6142136214339</v>
      </c>
      <c r="O70" s="3">
        <f t="shared" si="33"/>
        <v>1689.9596764017872</v>
      </c>
      <c r="P70" s="3">
        <f t="shared" si="22"/>
        <v>2893.5336733717386</v>
      </c>
      <c r="Q70" s="5">
        <f t="shared" si="44"/>
        <v>0.02282670058007165</v>
      </c>
      <c r="R70"/>
      <c r="S70" s="24">
        <f t="shared" si="34"/>
        <v>3.64861641302526</v>
      </c>
      <c r="T70" s="24">
        <f t="shared" si="35"/>
        <v>3.0202269004746762</v>
      </c>
      <c r="U70" s="24">
        <f t="shared" si="36"/>
        <v>2.505365821911463</v>
      </c>
      <c r="V70" s="24">
        <f t="shared" si="37"/>
        <v>2.1857867789770813</v>
      </c>
      <c r="W70" s="24">
        <f t="shared" si="38"/>
        <v>2.150392604850933</v>
      </c>
      <c r="X70" s="24">
        <f t="shared" si="39"/>
        <v>1921.8242838379683</v>
      </c>
      <c r="Y70" s="24">
        <f t="shared" si="40"/>
        <v>1784.0292695101043</v>
      </c>
      <c r="Z70" s="24">
        <f t="shared" si="41"/>
        <v>1648.788441496679</v>
      </c>
      <c r="AA70" s="24">
        <f t="shared" si="42"/>
        <v>1553.1808847432328</v>
      </c>
      <c r="AB70" s="24">
        <f t="shared" si="43"/>
        <v>1541.9755024209514</v>
      </c>
      <c r="AC70" s="24"/>
      <c r="AD70" s="24"/>
      <c r="AE70" s="24"/>
      <c r="AF70" s="24"/>
      <c r="AG70" s="24"/>
      <c r="BX70" s="2"/>
    </row>
    <row r="71" spans="1:76" ht="16.5">
      <c r="A71" s="20">
        <f>'[1]coil geom 2'!$A56</f>
        <v>32</v>
      </c>
      <c r="B71" s="5">
        <f>'[2]Bf'!$P38</f>
        <v>-0.6934456903989243</v>
      </c>
      <c r="C71" s="12">
        <f>'[2]Bf'!$O38</f>
        <v>218.6426703280376</v>
      </c>
      <c r="D71" s="6">
        <f>'[2]Br'!$M38</f>
        <v>-1.1866289424589562</v>
      </c>
      <c r="E71" s="19">
        <f t="shared" si="23"/>
        <v>1.374392655908093</v>
      </c>
      <c r="F71" s="19">
        <f t="shared" si="24"/>
        <v>0.32686575083616515</v>
      </c>
      <c r="G71" s="19">
        <f t="shared" si="25"/>
        <v>103.06041495547377</v>
      </c>
      <c r="H71" s="19">
        <f t="shared" si="26"/>
        <v>0.5593348774258572</v>
      </c>
      <c r="I71" s="19">
        <f t="shared" si="27"/>
        <v>0.6478400452076799</v>
      </c>
      <c r="J71" s="19">
        <f t="shared" si="28"/>
        <v>2.5913601808307196</v>
      </c>
      <c r="K71" s="3">
        <f t="shared" si="29"/>
        <v>11.55470139912224</v>
      </c>
      <c r="L71" s="3">
        <f t="shared" si="30"/>
        <v>350.8376307785656</v>
      </c>
      <c r="M71" s="3">
        <f t="shared" si="31"/>
        <v>3.764091578927768</v>
      </c>
      <c r="N71" s="3">
        <f t="shared" si="32"/>
        <v>885.4034417409265</v>
      </c>
      <c r="O71" s="3">
        <f t="shared" si="33"/>
        <v>1711.6915725599374</v>
      </c>
      <c r="P71" s="3">
        <f t="shared" si="22"/>
        <v>2963.2514380574794</v>
      </c>
      <c r="Q71" s="5">
        <f t="shared" si="44"/>
        <v>0.023376694711551328</v>
      </c>
      <c r="R71"/>
      <c r="S71" s="24">
        <f t="shared" si="34"/>
        <v>3.6721783212180323</v>
      </c>
      <c r="T71" s="24">
        <f t="shared" si="35"/>
        <v>3.0751357749380572</v>
      </c>
      <c r="U71" s="24">
        <f t="shared" si="36"/>
        <v>2.5913601808307196</v>
      </c>
      <c r="V71" s="24">
        <f t="shared" si="37"/>
        <v>2.2936774577732333</v>
      </c>
      <c r="W71" s="24">
        <f t="shared" si="38"/>
        <v>2.256963915265389</v>
      </c>
      <c r="X71" s="24">
        <f t="shared" si="39"/>
        <v>1926.4539170100634</v>
      </c>
      <c r="Y71" s="24">
        <f t="shared" si="40"/>
        <v>1797.2114801475107</v>
      </c>
      <c r="Z71" s="24">
        <f t="shared" si="41"/>
        <v>1672.910888681511</v>
      </c>
      <c r="AA71" s="24">
        <f t="shared" si="42"/>
        <v>1586.5538551057796</v>
      </c>
      <c r="AB71" s="24">
        <f t="shared" si="43"/>
        <v>1575.327721854822</v>
      </c>
      <c r="AC71" s="24"/>
      <c r="AD71" s="24"/>
      <c r="AE71" s="24"/>
      <c r="AF71" s="24"/>
      <c r="AG71" s="24"/>
      <c r="BX71" s="2"/>
    </row>
    <row r="72" spans="1:76" ht="16.5">
      <c r="A72" s="20">
        <f>'[1]coil geom 2'!$A57</f>
        <v>33</v>
      </c>
      <c r="B72" s="5">
        <f>'[2]Bf'!$P39</f>
        <v>-0.68417335829729</v>
      </c>
      <c r="C72" s="12">
        <f>'[2]Bf'!$O39</f>
        <v>212.54789818753315</v>
      </c>
      <c r="D72" s="6">
        <f>'[2]Br'!$M39</f>
        <v>-1.2484668110260242</v>
      </c>
      <c r="E72" s="19">
        <f t="shared" si="23"/>
        <v>1.4236441136875755</v>
      </c>
      <c r="F72" s="19">
        <f t="shared" si="24"/>
        <v>0.32249510171920337</v>
      </c>
      <c r="G72" s="19">
        <f t="shared" si="25"/>
        <v>100.18755512021359</v>
      </c>
      <c r="H72" s="19">
        <f t="shared" si="26"/>
        <v>0.5884830596398888</v>
      </c>
      <c r="I72" s="19">
        <f t="shared" si="27"/>
        <v>0.6710554389288595</v>
      </c>
      <c r="J72" s="19">
        <f t="shared" si="28"/>
        <v>2.6842217557154378</v>
      </c>
      <c r="K72" s="3">
        <f t="shared" si="29"/>
        <v>11.247762495717232</v>
      </c>
      <c r="L72" s="3">
        <f t="shared" si="30"/>
        <v>340.1664908299919</v>
      </c>
      <c r="M72" s="3">
        <f t="shared" si="31"/>
        <v>4.166623997538897</v>
      </c>
      <c r="N72" s="3">
        <f t="shared" si="32"/>
        <v>949.9974241793359</v>
      </c>
      <c r="O72" s="3">
        <f t="shared" si="33"/>
        <v>1734.1431828474033</v>
      </c>
      <c r="P72" s="3">
        <f t="shared" si="22"/>
        <v>3039.7214843499873</v>
      </c>
      <c r="Q72" s="5">
        <f t="shared" si="44"/>
        <v>0.02397995669053817</v>
      </c>
      <c r="R72"/>
      <c r="S72" s="24">
        <f t="shared" si="34"/>
        <v>3.696185680401402</v>
      </c>
      <c r="T72" s="24">
        <f t="shared" si="35"/>
        <v>3.13452324923319</v>
      </c>
      <c r="U72" s="24">
        <f t="shared" si="36"/>
        <v>2.6842217557154378</v>
      </c>
      <c r="V72" s="24">
        <f t="shared" si="37"/>
        <v>2.408572167410061</v>
      </c>
      <c r="W72" s="24">
        <f t="shared" si="38"/>
        <v>2.3693366909923084</v>
      </c>
      <c r="X72" s="24">
        <f t="shared" si="39"/>
        <v>1931.1325735312298</v>
      </c>
      <c r="Y72" s="24">
        <f t="shared" si="40"/>
        <v>1811.2141576667593</v>
      </c>
      <c r="Z72" s="24">
        <f t="shared" si="41"/>
        <v>1698.2439588383309</v>
      </c>
      <c r="AA72" s="24">
        <f t="shared" si="42"/>
        <v>1620.8479676544118</v>
      </c>
      <c r="AB72" s="24">
        <f t="shared" si="43"/>
        <v>1609.2772565462835</v>
      </c>
      <c r="AC72" s="24"/>
      <c r="AD72" s="24"/>
      <c r="AE72" s="24"/>
      <c r="AF72" s="24"/>
      <c r="AG72" s="24"/>
      <c r="BX72" s="2"/>
    </row>
    <row r="73" spans="1:76" ht="16.5">
      <c r="A73" s="20">
        <f>'[1]coil geom 2'!$A58</f>
        <v>34</v>
      </c>
      <c r="B73" s="5">
        <f>'[2]Bf'!$P40</f>
        <v>-0.6739838818223287</v>
      </c>
      <c r="C73" s="12">
        <f>'[2]Bf'!$O40</f>
        <v>204.83970364331694</v>
      </c>
      <c r="D73" s="6">
        <f>'[2]Br'!$M40</f>
        <v>-1.3146950729765248</v>
      </c>
      <c r="E73" s="19">
        <f t="shared" si="23"/>
        <v>1.4773887125144298</v>
      </c>
      <c r="F73" s="19">
        <f t="shared" si="24"/>
        <v>0.31769214321109057</v>
      </c>
      <c r="G73" s="19">
        <f t="shared" si="25"/>
        <v>96.55418507816023</v>
      </c>
      <c r="H73" s="19">
        <f t="shared" si="26"/>
        <v>0.6197007178772211</v>
      </c>
      <c r="I73" s="19">
        <f t="shared" si="27"/>
        <v>0.6963887402849068</v>
      </c>
      <c r="J73" s="19">
        <f t="shared" si="28"/>
        <v>2.785554961139627</v>
      </c>
      <c r="K73" s="3">
        <f t="shared" si="29"/>
        <v>10.915228734996225</v>
      </c>
      <c r="L73" s="3">
        <f t="shared" si="30"/>
        <v>328.237165595843</v>
      </c>
      <c r="M73" s="3">
        <f t="shared" si="31"/>
        <v>4.6204085435836335</v>
      </c>
      <c r="N73" s="3">
        <f t="shared" si="32"/>
        <v>1023.0788518180889</v>
      </c>
      <c r="O73" s="3">
        <f t="shared" si="33"/>
        <v>1757.5559862567425</v>
      </c>
      <c r="P73" s="3">
        <f t="shared" si="22"/>
        <v>3124.407640949254</v>
      </c>
      <c r="Q73" s="5">
        <f t="shared" si="44"/>
        <v>0.0246480344660824</v>
      </c>
      <c r="R73"/>
      <c r="S73" s="24">
        <f t="shared" si="34"/>
        <v>3.7200966026957816</v>
      </c>
      <c r="T73" s="24">
        <f t="shared" si="35"/>
        <v>3.19911682079717</v>
      </c>
      <c r="U73" s="24">
        <f t="shared" si="36"/>
        <v>2.785554961139627</v>
      </c>
      <c r="V73" s="24">
        <f t="shared" si="37"/>
        <v>2.5325921026993843</v>
      </c>
      <c r="W73" s="24">
        <f t="shared" si="38"/>
        <v>2.4896721439748837</v>
      </c>
      <c r="X73" s="24">
        <f t="shared" si="39"/>
        <v>1935.7539336344805</v>
      </c>
      <c r="Y73" s="24">
        <f t="shared" si="40"/>
        <v>1826.1477881332075</v>
      </c>
      <c r="Z73" s="24">
        <f t="shared" si="41"/>
        <v>1725.0664869332325</v>
      </c>
      <c r="AA73" s="24">
        <f t="shared" si="42"/>
        <v>1656.495942847936</v>
      </c>
      <c r="AB73" s="24">
        <f t="shared" si="43"/>
        <v>1644.3157797348567</v>
      </c>
      <c r="AC73" s="24"/>
      <c r="AD73" s="24"/>
      <c r="AE73" s="24"/>
      <c r="AF73" s="24"/>
      <c r="AG73" s="24"/>
      <c r="BX73" s="2"/>
    </row>
    <row r="74" spans="1:76" ht="16.5">
      <c r="A74" s="20">
        <f>'[1]coil geom 2'!$A59</f>
        <v>35</v>
      </c>
      <c r="B74" s="5">
        <f>'[2]Bf'!$P41</f>
        <v>-0.6632441842624921</v>
      </c>
      <c r="C74" s="12">
        <f>'[2]Bf'!$O41</f>
        <v>195.01696203664585</v>
      </c>
      <c r="D74" s="6">
        <f>'[2]Br'!$M41</f>
        <v>-1.3862719757944502</v>
      </c>
      <c r="E74" s="19">
        <f t="shared" si="23"/>
        <v>1.536763755048598</v>
      </c>
      <c r="F74" s="19">
        <f t="shared" si="24"/>
        <v>0.3126298299611087</v>
      </c>
      <c r="G74" s="19">
        <f t="shared" si="25"/>
        <v>91.92409240473525</v>
      </c>
      <c r="H74" s="19">
        <f t="shared" si="26"/>
        <v>0.653439536080344</v>
      </c>
      <c r="I74" s="19">
        <f t="shared" si="27"/>
        <v>0.724376033489794</v>
      </c>
      <c r="J74" s="19">
        <f t="shared" si="28"/>
        <v>2.897504133959176</v>
      </c>
      <c r="K74" s="3">
        <f t="shared" si="29"/>
        <v>10.570139545638707</v>
      </c>
      <c r="L74" s="3">
        <f t="shared" si="30"/>
        <v>315.27139395717234</v>
      </c>
      <c r="M74" s="3">
        <f t="shared" si="31"/>
        <v>5.137208532521969</v>
      </c>
      <c r="N74" s="3">
        <f t="shared" si="32"/>
        <v>1106.9647008987095</v>
      </c>
      <c r="O74" s="3">
        <f t="shared" si="33"/>
        <v>1782.2367079149542</v>
      </c>
      <c r="P74" s="3">
        <f t="shared" si="22"/>
        <v>3220.1801508489966</v>
      </c>
      <c r="Q74" s="5">
        <f t="shared" si="44"/>
        <v>0.02540357100170388</v>
      </c>
      <c r="R74"/>
      <c r="S74" s="24">
        <f t="shared" si="34"/>
        <v>3.744686344820878</v>
      </c>
      <c r="T74" s="24">
        <f t="shared" si="35"/>
        <v>3.2706436097099796</v>
      </c>
      <c r="U74" s="24">
        <f t="shared" si="36"/>
        <v>2.897504133959176</v>
      </c>
      <c r="V74" s="24">
        <f t="shared" si="37"/>
        <v>2.6679463215757</v>
      </c>
      <c r="W74" s="24">
        <f t="shared" si="38"/>
        <v>2.619986970813617</v>
      </c>
      <c r="X74" s="24">
        <f t="shared" si="39"/>
        <v>1940.466546158145</v>
      </c>
      <c r="Y74" s="24">
        <f t="shared" si="40"/>
        <v>1842.3287121609403</v>
      </c>
      <c r="Z74" s="24">
        <f t="shared" si="41"/>
        <v>1753.7330366376173</v>
      </c>
      <c r="AA74" s="24">
        <f t="shared" si="42"/>
        <v>1693.8566543053223</v>
      </c>
      <c r="AB74" s="24">
        <f t="shared" si="43"/>
        <v>1680.7985903127465</v>
      </c>
      <c r="AC74" s="24"/>
      <c r="AD74" s="24"/>
      <c r="AE74" s="24"/>
      <c r="AF74" s="24"/>
      <c r="AG74" s="24"/>
      <c r="BX74" s="2"/>
    </row>
    <row r="75" spans="1:76" ht="16.5">
      <c r="A75" s="16">
        <f>J28</f>
        <v>36.23820889210402</v>
      </c>
      <c r="B75" s="5">
        <f>'[2]Bf'!$P42</f>
        <v>-0.6526372462371004</v>
      </c>
      <c r="C75" s="12">
        <f>'[2]Bf'!$O42</f>
        <v>181.6577317804412</v>
      </c>
      <c r="D75" s="6">
        <f>'[2]Br'!$M42</f>
        <v>-1.463643292735403</v>
      </c>
      <c r="E75" s="19">
        <f t="shared" si="23"/>
        <v>1.6025564150897398</v>
      </c>
      <c r="F75" s="19">
        <f t="shared" si="24"/>
        <v>0.3076300948560455</v>
      </c>
      <c r="G75" s="19">
        <f t="shared" si="25"/>
        <v>85.62702417178468</v>
      </c>
      <c r="H75" s="19">
        <f t="shared" si="26"/>
        <v>0.6899096359818067</v>
      </c>
      <c r="I75" s="19">
        <f t="shared" si="27"/>
        <v>0.7553883644071362</v>
      </c>
      <c r="J75" s="19">
        <f t="shared" si="28"/>
        <v>3.021553457628545</v>
      </c>
      <c r="K75" s="3">
        <f t="shared" si="29"/>
        <v>10.234756882120058</v>
      </c>
      <c r="L75" s="3">
        <f t="shared" si="30"/>
        <v>301.46137936750176</v>
      </c>
      <c r="M75" s="3">
        <f t="shared" si="31"/>
        <v>5.726652116335323</v>
      </c>
      <c r="N75" s="3">
        <f t="shared" si="32"/>
        <v>1203.7774628345023</v>
      </c>
      <c r="O75" s="3">
        <f t="shared" si="33"/>
        <v>1808.0993186204294</v>
      </c>
      <c r="P75" s="3">
        <f t="shared" si="22"/>
        <v>3329.299569820889</v>
      </c>
      <c r="Q75" s="5">
        <f>P75*J$33*(A75-A74)</f>
        <v>0.03252081303128858</v>
      </c>
      <c r="R75"/>
      <c r="S75" s="24">
        <f t="shared" si="34"/>
        <v>3.7666237489111882</v>
      </c>
      <c r="T75" s="24">
        <f t="shared" si="35"/>
        <v>3.3487863418261545</v>
      </c>
      <c r="U75" s="24">
        <f t="shared" si="36"/>
        <v>3.021553457628545</v>
      </c>
      <c r="V75" s="24">
        <f t="shared" si="37"/>
        <v>2.816682528823336</v>
      </c>
      <c r="W75" s="24">
        <f t="shared" si="38"/>
        <v>2.7615422277807427</v>
      </c>
      <c r="X75" s="24">
        <f t="shared" si="39"/>
        <v>1944.6367587587442</v>
      </c>
      <c r="Y75" s="24">
        <f t="shared" si="40"/>
        <v>1859.5851563006236</v>
      </c>
      <c r="Z75" s="24">
        <f t="shared" si="41"/>
        <v>1784.350432640545</v>
      </c>
      <c r="AA75" s="24">
        <f t="shared" si="42"/>
        <v>1733.1377110955314</v>
      </c>
      <c r="AB75" s="24">
        <f t="shared" si="43"/>
        <v>1718.7865343067033</v>
      </c>
      <c r="AC75" s="24"/>
      <c r="AD75" s="24"/>
      <c r="AE75" s="24"/>
      <c r="AF75" s="24"/>
      <c r="AG75" s="24"/>
      <c r="BX75" s="2"/>
    </row>
    <row r="76" spans="2:76" ht="16.5">
      <c r="B76" s="5"/>
      <c r="E76" s="19"/>
      <c r="F76" s="19"/>
      <c r="G76" s="19"/>
      <c r="H76" s="19"/>
      <c r="I76" s="19"/>
      <c r="J76" s="19"/>
      <c r="K76" s="3"/>
      <c r="L76" s="3"/>
      <c r="M76" s="3"/>
      <c r="N76" s="3"/>
      <c r="O76" s="3"/>
      <c r="P76" s="3">
        <f t="shared" si="22"/>
        <v>0</v>
      </c>
      <c r="R76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BX76" s="2"/>
    </row>
    <row r="77" spans="1:76" ht="16.5">
      <c r="A77" s="16">
        <f>I29</f>
        <v>41.284249216564326</v>
      </c>
      <c r="B77" s="5">
        <f>'[2]Bf'!$P47</f>
        <v>-0.6091989960299014</v>
      </c>
      <c r="C77" s="12">
        <f>'[2]Bf'!$O47</f>
        <v>165.1876539783805</v>
      </c>
      <c r="D77" s="6">
        <f>'[2]Br'!$M47</f>
        <v>-0.9962057691997916</v>
      </c>
      <c r="E77" s="19">
        <f aca="true" t="shared" si="45" ref="E77:E91">SQRT(B77^2+D77^2)</f>
        <v>1.1677111592130942</v>
      </c>
      <c r="F77" s="19">
        <f aca="true" t="shared" si="46" ref="F77:F91">-B77*$E$26*(1-$E$28)/$E$27/$E$29</f>
        <v>0.2871548413999063</v>
      </c>
      <c r="G77" s="19">
        <f aca="true" t="shared" si="47" ref="G77:G91">C77*$E$26*(1-$E$28)/$E$27/$E$29</f>
        <v>77.8636125281077</v>
      </c>
      <c r="H77" s="19">
        <f aca="true" t="shared" si="48" ref="H77:H91">-D77*$E$26*(1-$E$28)/$E$27/$E$29</f>
        <v>0.4695761344330858</v>
      </c>
      <c r="I77" s="19">
        <f aca="true" t="shared" si="49" ref="I77:I91">E77*$E$26*(1-$E$28)/$E$27/$E$29</f>
        <v>0.5504177040834759</v>
      </c>
      <c r="J77" s="19">
        <f aca="true" t="shared" si="50" ref="J77:J91">E77*E$26/E$27</f>
        <v>2.2016708163339036</v>
      </c>
      <c r="K77" s="3">
        <f aca="true" t="shared" si="51" ref="K77:K91">E$33*E$14/120*E$6*F77^2/E$7*E$4*E$9*(E$9-1)/E$5</f>
        <v>8.917686027535494</v>
      </c>
      <c r="L77" s="3">
        <f aca="true" t="shared" si="52" ref="L77:L91">E$33*E$14/6*F77^2*E$4/E$8/E$5*SQRT(E$6^2+16*E$4^2)*(1+(G77*E$4/F77)^2/15)</f>
        <v>261.20866231522234</v>
      </c>
      <c r="M77" s="3">
        <f aca="true" t="shared" si="53" ref="M77:M91">E$34*E$14*H77^2/8*E$5/E$8/E$4*SQRT(E$6^2+16*E$4^2)</f>
        <v>2.6529460144500967</v>
      </c>
      <c r="N77" s="3">
        <f aca="true" t="shared" si="54" ref="N77:N91">E$33*2*E$14*E$15*I77^2/E$13*E$20</f>
        <v>639.1317836298043</v>
      </c>
      <c r="O77" s="3">
        <f aca="true" t="shared" si="55" ref="O77:O91">(X77+Y77+Z77+AA77+AB77)/5</f>
        <v>1587.5639905207986</v>
      </c>
      <c r="P77" s="3">
        <f t="shared" si="22"/>
        <v>2499.4750685078106</v>
      </c>
      <c r="Q77" s="5">
        <f>P77*J$33*(A78-A77)</f>
        <v>0.014113191763955717</v>
      </c>
      <c r="R77"/>
      <c r="S77" s="24">
        <f aca="true" t="shared" si="56" ref="S77:S91">SQRT(($B77-$C77*0.8*$E$4)^2+$D77^2)*$E$26/$E$27</f>
        <v>3.0168534899570836</v>
      </c>
      <c r="T77" s="24">
        <f aca="true" t="shared" si="57" ref="T77:T91">SQRT(($B77-$C77*0.4*$E$4)^2+$D77^2)*$E$26/$E$27</f>
        <v>2.570415172164766</v>
      </c>
      <c r="U77" s="24">
        <f aca="true" t="shared" si="58" ref="U77:U91">SQRT(($B77)^2+$D77^2)*$E$26/$E$27</f>
        <v>2.2016708163339036</v>
      </c>
      <c r="V77" s="24">
        <f aca="true" t="shared" si="59" ref="V77:V91">SQRT(($B77+$C77*0.4*$E$4)^2+$D77^2)*$E$26/$E$27</f>
        <v>1.9550871229873483</v>
      </c>
      <c r="W77" s="24">
        <f aca="true" t="shared" si="60" ref="W77:W91">SQRT(($B77+$C77*0.8*$E$4)^2+$D77^2)*$E$26/$E$27</f>
        <v>1.8793796801653662</v>
      </c>
      <c r="X77" s="24">
        <f aca="true" t="shared" si="61" ref="X77:X91">$E$35*$E$14*$E$15*$E$17/$E$29*2/3*$E$21/PI()*($E$22*$E$23*LN((S77+$E$23)/($E$28*S77+$E$23))+$E$24*S77*(1-$E$28)+$E$25*S77^2/2*(1-$E$28^2))</f>
        <v>1783.2119545745795</v>
      </c>
      <c r="Y77" s="24">
        <f aca="true" t="shared" si="62" ref="Y77:Y91">$E$35*$E$14*$E$15*$E$17/$E$29*2/3*$E$21/PI()*($E$22*$E$23*LN((T77+$E$23)/($E$28*T77+$E$23))+$E$24*T77*(1-$E$28)+$E$25*T77^2/2*(1-$E$28^2))</f>
        <v>1667.0950664762174</v>
      </c>
      <c r="Z77" s="24">
        <f aca="true" t="shared" si="63" ref="Z77:Z91">$E$35*$E$14*$E$15*$E$17/$E$29*2/3*$E$21/PI()*($E$22*$E$23*LN((U77+$E$23)/($E$28*U77+$E$23))+$E$24*U77*(1-$E$28)+$E$25*U77^2/2*(1-$E$28^2))</f>
        <v>1558.1676375571828</v>
      </c>
      <c r="AA77" s="24">
        <f aca="true" t="shared" si="64" ref="AA77:AA91">$E$35*$E$14*$E$15*$E$17/$E$29*2/3*$E$21/PI()*($E$22*$E$23*LN((V77+$E$23)/($E$28*V77+$E$23))+$E$24*V77*(1-$E$28)+$E$25*V77^2/2*(1-$E$28^2))</f>
        <v>1477.7152343567657</v>
      </c>
      <c r="AB77" s="24">
        <f aca="true" t="shared" si="65" ref="AB77:AB91">$E$35*$E$14*$E$15*$E$17/$E$29*2/3*$E$21/PI()*($E$22*$E$23*LN((W77+$E$23)/($E$28*W77+$E$23))+$E$24*W77*(1-$E$28)+$E$25*W77^2/2*(1-$E$28^2))</f>
        <v>1451.6300596392468</v>
      </c>
      <c r="AC77" s="24"/>
      <c r="AD77" s="24"/>
      <c r="AE77" s="24"/>
      <c r="AF77" s="24"/>
      <c r="AG77" s="24"/>
      <c r="BX77" s="2"/>
    </row>
    <row r="78" spans="1:76" ht="16.5">
      <c r="A78" s="20">
        <f>'[1]coil geom 2'!$A63</f>
        <v>42</v>
      </c>
      <c r="B78" s="5">
        <f>'[2]Bf'!$P48</f>
        <v>-0.6036062565672307</v>
      </c>
      <c r="C78" s="12">
        <f>'[2]Bf'!$O48</f>
        <v>178.0405812419791</v>
      </c>
      <c r="D78" s="6">
        <f>'[2]Br'!$M48</f>
        <v>-1.0020586485015945</v>
      </c>
      <c r="E78" s="19">
        <f t="shared" si="45"/>
        <v>1.1698128260554967</v>
      </c>
      <c r="F78" s="19">
        <f t="shared" si="46"/>
        <v>0.2845186219972805</v>
      </c>
      <c r="G78" s="19">
        <f t="shared" si="47"/>
        <v>83.92202745320722</v>
      </c>
      <c r="H78" s="19">
        <f t="shared" si="48"/>
        <v>0.4723349745470631</v>
      </c>
      <c r="I78" s="19">
        <f t="shared" si="49"/>
        <v>0.5514083554350679</v>
      </c>
      <c r="J78" s="19">
        <f t="shared" si="50"/>
        <v>2.2056334217402718</v>
      </c>
      <c r="K78" s="3">
        <f t="shared" si="51"/>
        <v>8.75470033684073</v>
      </c>
      <c r="L78" s="3">
        <f t="shared" si="52"/>
        <v>261.3208587721553</v>
      </c>
      <c r="M78" s="3">
        <f t="shared" si="53"/>
        <v>2.6842106111507653</v>
      </c>
      <c r="N78" s="3">
        <f t="shared" si="54"/>
        <v>641.4344949847366</v>
      </c>
      <c r="O78" s="3">
        <f t="shared" si="55"/>
        <v>1594.0409264175112</v>
      </c>
      <c r="P78" s="3">
        <f t="shared" si="22"/>
        <v>2508.2351911223946</v>
      </c>
      <c r="Q78" s="5">
        <f aca="true" t="shared" si="66" ref="Q78:Q90">P78*J$33</f>
        <v>0.01978713232855958</v>
      </c>
      <c r="R78"/>
      <c r="S78" s="24">
        <f t="shared" si="56"/>
        <v>3.0895858141826094</v>
      </c>
      <c r="T78" s="24">
        <f t="shared" si="57"/>
        <v>2.603544758697584</v>
      </c>
      <c r="U78" s="24">
        <f t="shared" si="58"/>
        <v>2.2056334217402718</v>
      </c>
      <c r="V78" s="24">
        <f t="shared" si="59"/>
        <v>1.950554009728142</v>
      </c>
      <c r="W78" s="24">
        <f t="shared" si="60"/>
        <v>1.8968320357501767</v>
      </c>
      <c r="X78" s="24">
        <f t="shared" si="61"/>
        <v>1800.6428231467048</v>
      </c>
      <c r="Y78" s="24">
        <f t="shared" si="62"/>
        <v>1676.276770904198</v>
      </c>
      <c r="Z78" s="24">
        <f t="shared" si="63"/>
        <v>1559.4076755610242</v>
      </c>
      <c r="AA78" s="24">
        <f t="shared" si="64"/>
        <v>1476.1726071363803</v>
      </c>
      <c r="AB78" s="24">
        <f t="shared" si="65"/>
        <v>1457.70475533925</v>
      </c>
      <c r="AC78" s="24"/>
      <c r="AD78" s="24"/>
      <c r="AE78" s="24"/>
      <c r="AF78" s="24"/>
      <c r="AG78" s="24"/>
      <c r="BX78" s="2"/>
    </row>
    <row r="79" spans="1:76" ht="16.5">
      <c r="A79" s="20">
        <f>'[1]coil geom 2'!$A64</f>
        <v>43</v>
      </c>
      <c r="B79" s="5">
        <f>'[2]Bf'!$P49</f>
        <v>-0.5973385358568848</v>
      </c>
      <c r="C79" s="12">
        <f>'[2]Bf'!$O49</f>
        <v>186.95603637908826</v>
      </c>
      <c r="D79" s="6">
        <f>'[2]Br'!$M49</f>
        <v>-1.0854266139488287</v>
      </c>
      <c r="E79" s="19">
        <f t="shared" si="45"/>
        <v>1.2389367460399527</v>
      </c>
      <c r="F79" s="19">
        <f t="shared" si="46"/>
        <v>0.2815642403284868</v>
      </c>
      <c r="G79" s="19">
        <f t="shared" si="47"/>
        <v>88.1244574023513</v>
      </c>
      <c r="H79" s="19">
        <f t="shared" si="48"/>
        <v>0.5116316822761389</v>
      </c>
      <c r="I79" s="19">
        <f t="shared" si="49"/>
        <v>0.5839909243648139</v>
      </c>
      <c r="J79" s="19">
        <f t="shared" si="50"/>
        <v>2.3359636974592557</v>
      </c>
      <c r="K79" s="3">
        <f t="shared" si="51"/>
        <v>8.573830353248077</v>
      </c>
      <c r="L79" s="3">
        <f t="shared" si="52"/>
        <v>259.8119368325117</v>
      </c>
      <c r="M79" s="3">
        <f t="shared" si="53"/>
        <v>3.1494247747454684</v>
      </c>
      <c r="N79" s="3">
        <f t="shared" si="54"/>
        <v>719.4785027543777</v>
      </c>
      <c r="O79" s="3">
        <f t="shared" si="55"/>
        <v>1636.1161192065997</v>
      </c>
      <c r="P79" s="3">
        <f t="shared" si="22"/>
        <v>2627.1298139214828</v>
      </c>
      <c r="Q79" s="5">
        <f t="shared" si="66"/>
        <v>0.020725076123785175</v>
      </c>
      <c r="R79"/>
      <c r="S79" s="24">
        <f t="shared" si="56"/>
        <v>3.22942216836369</v>
      </c>
      <c r="T79" s="24">
        <f t="shared" si="57"/>
        <v>2.7335699701848832</v>
      </c>
      <c r="U79" s="24">
        <f t="shared" si="58"/>
        <v>2.3359636974592557</v>
      </c>
      <c r="V79" s="24">
        <f t="shared" si="59"/>
        <v>2.093354337748782</v>
      </c>
      <c r="W79" s="24">
        <f t="shared" si="60"/>
        <v>2.061218752211651</v>
      </c>
      <c r="X79" s="24">
        <f t="shared" si="61"/>
        <v>1833.0488549043475</v>
      </c>
      <c r="Y79" s="24">
        <f t="shared" si="62"/>
        <v>1711.4117415615162</v>
      </c>
      <c r="Z79" s="24">
        <f t="shared" si="63"/>
        <v>1599.3215184147966</v>
      </c>
      <c r="AA79" s="24">
        <f t="shared" si="64"/>
        <v>1523.6410546768243</v>
      </c>
      <c r="AB79" s="24">
        <f t="shared" si="65"/>
        <v>1513.1574264755138</v>
      </c>
      <c r="AC79" s="24"/>
      <c r="AD79" s="24"/>
      <c r="AE79" s="24"/>
      <c r="AF79" s="24"/>
      <c r="AG79" s="24"/>
      <c r="BX79" s="2"/>
    </row>
    <row r="80" spans="1:76" ht="16.5">
      <c r="A80" s="20">
        <f>'[1]coil geom 2'!$A65</f>
        <v>44</v>
      </c>
      <c r="B80" s="5">
        <f>'[2]Bf'!$P50</f>
        <v>-0.5899700995025388</v>
      </c>
      <c r="C80" s="12">
        <f>'[2]Bf'!$O50</f>
        <v>192.78678151772814</v>
      </c>
      <c r="D80" s="6">
        <f>'[2]Br'!$M50</f>
        <v>-1.1637762674259693</v>
      </c>
      <c r="E80" s="19">
        <f t="shared" si="45"/>
        <v>1.3047758117511823</v>
      </c>
      <c r="F80" s="19">
        <f t="shared" si="46"/>
        <v>0.27809102026987453</v>
      </c>
      <c r="G80" s="19">
        <f t="shared" si="47"/>
        <v>90.87286425535146</v>
      </c>
      <c r="H80" s="19">
        <f t="shared" si="48"/>
        <v>0.5485629353881543</v>
      </c>
      <c r="I80" s="19">
        <f t="shared" si="49"/>
        <v>0.6150251292722989</v>
      </c>
      <c r="J80" s="19">
        <f t="shared" si="50"/>
        <v>2.4601005170891956</v>
      </c>
      <c r="K80" s="3">
        <f t="shared" si="51"/>
        <v>8.363610957752849</v>
      </c>
      <c r="L80" s="3">
        <f t="shared" si="52"/>
        <v>256.49785684754954</v>
      </c>
      <c r="M80" s="3">
        <f t="shared" si="53"/>
        <v>3.620506241668037</v>
      </c>
      <c r="N80" s="3">
        <f t="shared" si="54"/>
        <v>797.9787903026916</v>
      </c>
      <c r="O80" s="3">
        <f t="shared" si="55"/>
        <v>1673.3117051583165</v>
      </c>
      <c r="P80" s="3">
        <f t="shared" si="22"/>
        <v>2739.7724695079787</v>
      </c>
      <c r="Q80" s="5">
        <f t="shared" si="66"/>
        <v>0.021613698984918453</v>
      </c>
      <c r="R80"/>
      <c r="S80" s="24">
        <f t="shared" si="56"/>
        <v>3.34676527449458</v>
      </c>
      <c r="T80" s="24">
        <f t="shared" si="57"/>
        <v>2.8506343094172117</v>
      </c>
      <c r="U80" s="24">
        <f t="shared" si="58"/>
        <v>2.4601005170891956</v>
      </c>
      <c r="V80" s="24">
        <f t="shared" si="59"/>
        <v>2.2313165546445277</v>
      </c>
      <c r="W80" s="24">
        <f t="shared" si="60"/>
        <v>2.214983748150568</v>
      </c>
      <c r="X80" s="24">
        <f t="shared" si="61"/>
        <v>1859.144327395715</v>
      </c>
      <c r="Y80" s="24">
        <f t="shared" si="62"/>
        <v>1741.8526145678104</v>
      </c>
      <c r="Z80" s="24">
        <f t="shared" si="63"/>
        <v>1635.827897241736</v>
      </c>
      <c r="AA80" s="24">
        <f t="shared" si="64"/>
        <v>1567.4062849939153</v>
      </c>
      <c r="AB80" s="24">
        <f t="shared" si="65"/>
        <v>1562.3274015924062</v>
      </c>
      <c r="AC80" s="24"/>
      <c r="AD80" s="24"/>
      <c r="AE80" s="24"/>
      <c r="AF80" s="24"/>
      <c r="AG80" s="24"/>
      <c r="BX80" s="2"/>
    </row>
    <row r="81" spans="1:76" ht="16.5">
      <c r="A81" s="20">
        <f>'[1]coil geom 2'!$A66</f>
        <v>45</v>
      </c>
      <c r="B81" s="5">
        <f>'[2]Bf'!$P51</f>
        <v>-0.5820132667816189</v>
      </c>
      <c r="C81" s="12">
        <f>'[2]Bf'!$O51</f>
        <v>196.4470854530454</v>
      </c>
      <c r="D81" s="6">
        <f>'[2]Br'!$M51</f>
        <v>-1.239075168627491</v>
      </c>
      <c r="E81" s="19">
        <f t="shared" si="45"/>
        <v>1.3689582594875043</v>
      </c>
      <c r="F81" s="19">
        <f t="shared" si="46"/>
        <v>0.27434045099298554</v>
      </c>
      <c r="G81" s="19">
        <f t="shared" si="47"/>
        <v>92.59820195759858</v>
      </c>
      <c r="H81" s="19">
        <f t="shared" si="48"/>
        <v>0.5840561718724916</v>
      </c>
      <c r="I81" s="19">
        <f t="shared" si="49"/>
        <v>0.6452784631098298</v>
      </c>
      <c r="J81" s="19">
        <f t="shared" si="50"/>
        <v>2.58111385243932</v>
      </c>
      <c r="K81" s="3">
        <f t="shared" si="51"/>
        <v>8.139534879176551</v>
      </c>
      <c r="L81" s="3">
        <f t="shared" si="52"/>
        <v>252.0344782867311</v>
      </c>
      <c r="M81" s="3">
        <f t="shared" si="53"/>
        <v>4.10417258382897</v>
      </c>
      <c r="N81" s="3">
        <f t="shared" si="54"/>
        <v>878.4154524044988</v>
      </c>
      <c r="O81" s="3">
        <f t="shared" si="55"/>
        <v>1707.226982222685</v>
      </c>
      <c r="P81" s="3">
        <f t="shared" si="22"/>
        <v>2849.9206203769204</v>
      </c>
      <c r="Q81" s="5">
        <f t="shared" si="66"/>
        <v>0.022482643031594793</v>
      </c>
      <c r="R81"/>
      <c r="S81" s="24">
        <f t="shared" si="56"/>
        <v>3.4502339693463098</v>
      </c>
      <c r="T81" s="24">
        <f t="shared" si="57"/>
        <v>2.9603380590970234</v>
      </c>
      <c r="U81" s="24">
        <f t="shared" si="58"/>
        <v>2.58111385243932</v>
      </c>
      <c r="V81" s="24">
        <f t="shared" si="59"/>
        <v>2.366380427695141</v>
      </c>
      <c r="W81" s="24">
        <f t="shared" si="60"/>
        <v>2.3614453735184746</v>
      </c>
      <c r="X81" s="24">
        <f t="shared" si="61"/>
        <v>1881.342178731088</v>
      </c>
      <c r="Y81" s="24">
        <f t="shared" si="62"/>
        <v>1769.3899465178756</v>
      </c>
      <c r="Z81" s="24">
        <f t="shared" si="63"/>
        <v>1670.0705238700436</v>
      </c>
      <c r="AA81" s="24">
        <f t="shared" si="64"/>
        <v>1608.3996047871312</v>
      </c>
      <c r="AB81" s="24">
        <f t="shared" si="65"/>
        <v>1606.932657207285</v>
      </c>
      <c r="AC81" s="24"/>
      <c r="AD81" s="24"/>
      <c r="AE81" s="24"/>
      <c r="AF81" s="24"/>
      <c r="AG81" s="24"/>
      <c r="BX81" s="2"/>
    </row>
    <row r="82" spans="1:76" ht="16.5">
      <c r="A82" s="20">
        <f>'[1]coil geom 2'!$A67</f>
        <v>46</v>
      </c>
      <c r="B82" s="5">
        <f>'[2]Bf'!$P52</f>
        <v>-0.5731696417058778</v>
      </c>
      <c r="C82" s="12">
        <f>'[2]Bf'!$O52</f>
        <v>198.3951260814957</v>
      </c>
      <c r="D82" s="6">
        <f>'[2]Br'!$M52</f>
        <v>-1.3126336149754054</v>
      </c>
      <c r="E82" s="19">
        <f t="shared" si="45"/>
        <v>1.4323164613089683</v>
      </c>
      <c r="F82" s="19">
        <f t="shared" si="46"/>
        <v>0.27017187919202346</v>
      </c>
      <c r="G82" s="19">
        <f t="shared" si="47"/>
        <v>93.51643935022186</v>
      </c>
      <c r="H82" s="19">
        <f t="shared" si="48"/>
        <v>0.6187290195500378</v>
      </c>
      <c r="I82" s="19">
        <f t="shared" si="49"/>
        <v>0.6751432766009748</v>
      </c>
      <c r="J82" s="19">
        <f t="shared" si="50"/>
        <v>2.7005731064038994</v>
      </c>
      <c r="K82" s="3">
        <f t="shared" si="51"/>
        <v>7.894055567449475</v>
      </c>
      <c r="L82" s="3">
        <f t="shared" si="52"/>
        <v>246.3570029667655</v>
      </c>
      <c r="M82" s="3">
        <f t="shared" si="53"/>
        <v>4.605930189063649</v>
      </c>
      <c r="N82" s="3">
        <f t="shared" si="54"/>
        <v>961.606788489122</v>
      </c>
      <c r="O82" s="3">
        <f t="shared" si="55"/>
        <v>1738.7424722813842</v>
      </c>
      <c r="P82" s="3">
        <f t="shared" si="22"/>
        <v>2959.2062494937845</v>
      </c>
      <c r="Q82" s="5">
        <f t="shared" si="66"/>
        <v>0.02334478275939983</v>
      </c>
      <c r="R82"/>
      <c r="S82" s="24">
        <f t="shared" si="56"/>
        <v>3.5439106683289414</v>
      </c>
      <c r="T82" s="24">
        <f t="shared" si="57"/>
        <v>3.065340767352537</v>
      </c>
      <c r="U82" s="24">
        <f t="shared" si="58"/>
        <v>2.7005731064038994</v>
      </c>
      <c r="V82" s="24">
        <f t="shared" si="59"/>
        <v>2.4999292138401423</v>
      </c>
      <c r="W82" s="24">
        <f t="shared" si="60"/>
        <v>2.503191349763656</v>
      </c>
      <c r="X82" s="24">
        <f t="shared" si="61"/>
        <v>1900.7947585291683</v>
      </c>
      <c r="Y82" s="24">
        <f t="shared" si="62"/>
        <v>1794.8766213740064</v>
      </c>
      <c r="Z82" s="24">
        <f t="shared" si="63"/>
        <v>1702.6294392958544</v>
      </c>
      <c r="AA82" s="24">
        <f t="shared" si="64"/>
        <v>1647.2415090461654</v>
      </c>
      <c r="AB82" s="24">
        <f t="shared" si="65"/>
        <v>1648.1700331617262</v>
      </c>
      <c r="AC82" s="24"/>
      <c r="AD82" s="24"/>
      <c r="AE82" s="24"/>
      <c r="AF82" s="24"/>
      <c r="AG82" s="24"/>
      <c r="BX82" s="2"/>
    </row>
    <row r="83" spans="1:76" ht="16.5">
      <c r="A83" s="20">
        <f>'[1]coil geom 2'!$A68</f>
        <v>47</v>
      </c>
      <c r="B83" s="5">
        <f>'[2]Bf'!$P53</f>
        <v>-0.5638422032320918</v>
      </c>
      <c r="C83" s="12">
        <f>'[2]Bf'!$O53</f>
        <v>198.77989350058206</v>
      </c>
      <c r="D83" s="6">
        <f>'[2]Br'!$M53</f>
        <v>-1.3853539176118572</v>
      </c>
      <c r="E83" s="19">
        <f t="shared" si="45"/>
        <v>1.495701677203091</v>
      </c>
      <c r="F83" s="19">
        <f t="shared" si="46"/>
        <v>0.2657752548819664</v>
      </c>
      <c r="G83" s="19">
        <f t="shared" si="47"/>
        <v>93.69780509101204</v>
      </c>
      <c r="H83" s="19">
        <f t="shared" si="48"/>
        <v>0.6530067959518534</v>
      </c>
      <c r="I83" s="19">
        <f t="shared" si="49"/>
        <v>0.7050208235696869</v>
      </c>
      <c r="J83" s="19">
        <f t="shared" si="50"/>
        <v>2.820083294278748</v>
      </c>
      <c r="K83" s="3">
        <f t="shared" si="51"/>
        <v>7.6392193196886815</v>
      </c>
      <c r="L83" s="3">
        <f t="shared" si="52"/>
        <v>239.82060535622355</v>
      </c>
      <c r="M83" s="3">
        <f t="shared" si="53"/>
        <v>5.130406556082064</v>
      </c>
      <c r="N83" s="3">
        <f t="shared" si="54"/>
        <v>1048.599184131387</v>
      </c>
      <c r="O83" s="3">
        <f t="shared" si="55"/>
        <v>1768.4925250877538</v>
      </c>
      <c r="P83" s="3">
        <f t="shared" si="22"/>
        <v>3069.6819404511352</v>
      </c>
      <c r="Q83" s="5">
        <f t="shared" si="66"/>
        <v>0.024216310726075056</v>
      </c>
      <c r="R83"/>
      <c r="S83" s="24">
        <f t="shared" si="56"/>
        <v>3.630716594749647</v>
      </c>
      <c r="T83" s="24">
        <f t="shared" si="57"/>
        <v>3.167892696205244</v>
      </c>
      <c r="U83" s="24">
        <f t="shared" si="58"/>
        <v>2.820083294278748</v>
      </c>
      <c r="V83" s="24">
        <f t="shared" si="59"/>
        <v>2.6332641241222112</v>
      </c>
      <c r="W83" s="24">
        <f t="shared" si="60"/>
        <v>2.6418127520374424</v>
      </c>
      <c r="X83" s="24">
        <f t="shared" si="61"/>
        <v>1918.2820853230255</v>
      </c>
      <c r="Y83" s="24">
        <f t="shared" si="62"/>
        <v>1818.9672931439059</v>
      </c>
      <c r="Z83" s="24">
        <f t="shared" si="63"/>
        <v>1734.0147891358906</v>
      </c>
      <c r="AA83" s="24">
        <f t="shared" si="64"/>
        <v>1684.433128346505</v>
      </c>
      <c r="AB83" s="24">
        <f t="shared" si="65"/>
        <v>1686.7653294894426</v>
      </c>
      <c r="AC83" s="24"/>
      <c r="AD83" s="24"/>
      <c r="AE83" s="24"/>
      <c r="AF83" s="24"/>
      <c r="AG83" s="24"/>
      <c r="BX83" s="2"/>
    </row>
    <row r="84" spans="1:76" ht="16.5">
      <c r="A84" s="20">
        <f>'[1]coil geom 2'!$A69</f>
        <v>48</v>
      </c>
      <c r="B84" s="5">
        <f>'[2]Bf'!$P54</f>
        <v>-0.553885694261746</v>
      </c>
      <c r="C84" s="12">
        <f>'[2]Bf'!$O54</f>
        <v>197.80678894011174</v>
      </c>
      <c r="D84" s="6">
        <f>'[2]Br'!$M54</f>
        <v>-1.4583924395940684</v>
      </c>
      <c r="E84" s="19">
        <f t="shared" si="45"/>
        <v>1.5600313683298022</v>
      </c>
      <c r="F84" s="19">
        <f t="shared" si="46"/>
        <v>0.2610821090086005</v>
      </c>
      <c r="G84" s="19">
        <f t="shared" si="47"/>
        <v>93.23911804860322</v>
      </c>
      <c r="H84" s="19">
        <f t="shared" si="48"/>
        <v>0.6874345696884602</v>
      </c>
      <c r="I84" s="19">
        <f t="shared" si="49"/>
        <v>0.7353435627291077</v>
      </c>
      <c r="J84" s="19">
        <f t="shared" si="50"/>
        <v>2.941374250916431</v>
      </c>
      <c r="K84" s="3">
        <f t="shared" si="51"/>
        <v>7.371809716307571</v>
      </c>
      <c r="L84" s="3">
        <f t="shared" si="52"/>
        <v>232.41809615639326</v>
      </c>
      <c r="M84" s="3">
        <f t="shared" si="53"/>
        <v>5.685636834338959</v>
      </c>
      <c r="N84" s="3">
        <f t="shared" si="54"/>
        <v>1140.738807171739</v>
      </c>
      <c r="O84" s="3">
        <f t="shared" si="55"/>
        <v>1797.0966695746308</v>
      </c>
      <c r="P84" s="3">
        <f t="shared" si="22"/>
        <v>3183.3110194534092</v>
      </c>
      <c r="Q84" s="5">
        <f t="shared" si="66"/>
        <v>0.025112715349751607</v>
      </c>
      <c r="R84"/>
      <c r="S84" s="24">
        <f t="shared" si="56"/>
        <v>3.713549884696777</v>
      </c>
      <c r="T84" s="24">
        <f t="shared" si="57"/>
        <v>3.270217231235084</v>
      </c>
      <c r="U84" s="24">
        <f t="shared" si="58"/>
        <v>2.941374250916431</v>
      </c>
      <c r="V84" s="24">
        <f t="shared" si="59"/>
        <v>2.7681289672978493</v>
      </c>
      <c r="W84" s="24">
        <f t="shared" si="60"/>
        <v>2.7797279050987425</v>
      </c>
      <c r="X84" s="24">
        <f t="shared" si="61"/>
        <v>1934.4924359982945</v>
      </c>
      <c r="Y84" s="24">
        <f t="shared" si="62"/>
        <v>1842.2333532104126</v>
      </c>
      <c r="Z84" s="24">
        <f t="shared" si="63"/>
        <v>1764.6968913195938</v>
      </c>
      <c r="AA84" s="24">
        <f t="shared" si="64"/>
        <v>1720.5138037251681</v>
      </c>
      <c r="AB84" s="24">
        <f t="shared" si="65"/>
        <v>1723.5468636196854</v>
      </c>
      <c r="AC84" s="24"/>
      <c r="AD84" s="24"/>
      <c r="AE84" s="24"/>
      <c r="AF84" s="24"/>
      <c r="AG84" s="24"/>
      <c r="BX84" s="2"/>
    </row>
    <row r="85" spans="1:76" ht="16.5">
      <c r="A85" s="20">
        <f>'[1]coil geom 2'!$A70</f>
        <v>49</v>
      </c>
      <c r="B85" s="5">
        <f>'[2]Bf'!$P55</f>
        <v>-0.5431440402046857</v>
      </c>
      <c r="C85" s="12">
        <f>'[2]Bf'!$O55</f>
        <v>195.4771629223311</v>
      </c>
      <c r="D85" s="6">
        <f>'[2]Br'!$M55</f>
        <v>-1.5324290050316072</v>
      </c>
      <c r="E85" s="19">
        <f t="shared" si="45"/>
        <v>1.6258364320779723</v>
      </c>
      <c r="F85" s="19">
        <f t="shared" si="46"/>
        <v>0.2560188735350863</v>
      </c>
      <c r="G85" s="19">
        <f t="shared" si="47"/>
        <v>92.14101481137453</v>
      </c>
      <c r="H85" s="19">
        <f t="shared" si="48"/>
        <v>0.7223327857796876</v>
      </c>
      <c r="I85" s="19">
        <f t="shared" si="49"/>
        <v>0.7663617403148585</v>
      </c>
      <c r="J85" s="19">
        <f t="shared" si="50"/>
        <v>3.065446961259434</v>
      </c>
      <c r="K85" s="3">
        <f t="shared" si="51"/>
        <v>7.088655273417012</v>
      </c>
      <c r="L85" s="3">
        <f t="shared" si="52"/>
        <v>224.07465091740792</v>
      </c>
      <c r="M85" s="3">
        <f t="shared" si="53"/>
        <v>6.277562344418577</v>
      </c>
      <c r="N85" s="3">
        <f t="shared" si="54"/>
        <v>1239.0055630780244</v>
      </c>
      <c r="O85" s="3">
        <f t="shared" si="55"/>
        <v>1824.863728174054</v>
      </c>
      <c r="P85" s="3">
        <f t="shared" si="22"/>
        <v>3301.310159787322</v>
      </c>
      <c r="Q85" s="5">
        <f t="shared" si="66"/>
        <v>0.026043594803443742</v>
      </c>
      <c r="R85"/>
      <c r="S85" s="24">
        <f t="shared" si="56"/>
        <v>3.7937565213753337</v>
      </c>
      <c r="T85" s="24">
        <f t="shared" si="57"/>
        <v>3.3734795332919707</v>
      </c>
      <c r="U85" s="24">
        <f t="shared" si="58"/>
        <v>3.065446961259434</v>
      </c>
      <c r="V85" s="24">
        <f t="shared" si="59"/>
        <v>2.9055793356476296</v>
      </c>
      <c r="W85" s="24">
        <f t="shared" si="60"/>
        <v>2.91832876350203</v>
      </c>
      <c r="X85" s="24">
        <f t="shared" si="61"/>
        <v>1949.750276354858</v>
      </c>
      <c r="Y85" s="24">
        <f t="shared" si="62"/>
        <v>1864.9477740149746</v>
      </c>
      <c r="Z85" s="24">
        <f t="shared" si="63"/>
        <v>1794.901973743298</v>
      </c>
      <c r="AA85" s="24">
        <f t="shared" si="64"/>
        <v>1755.7624478420528</v>
      </c>
      <c r="AB85" s="24">
        <f t="shared" si="65"/>
        <v>1758.956168915086</v>
      </c>
      <c r="AC85" s="24"/>
      <c r="AD85" s="24"/>
      <c r="AE85" s="24"/>
      <c r="AF85" s="24"/>
      <c r="AG85" s="24"/>
      <c r="BX85" s="2"/>
    </row>
    <row r="86" spans="1:76" ht="16.5">
      <c r="A86" s="20">
        <f>'[1]coil geom 2'!$A71</f>
        <v>50</v>
      </c>
      <c r="B86" s="5">
        <f>'[2]Bf'!$P56</f>
        <v>-0.5318523069431151</v>
      </c>
      <c r="C86" s="12">
        <f>'[2]Bf'!$O56</f>
        <v>191.67859495808676</v>
      </c>
      <c r="D86" s="6">
        <f>'[2]Br'!$M56</f>
        <v>-1.6083404901146503</v>
      </c>
      <c r="E86" s="19">
        <f t="shared" si="45"/>
        <v>1.6939970509251032</v>
      </c>
      <c r="F86" s="19">
        <f t="shared" si="46"/>
        <v>0.25069635019708464</v>
      </c>
      <c r="G86" s="19">
        <f t="shared" si="47"/>
        <v>90.35050434036613</v>
      </c>
      <c r="H86" s="19">
        <f t="shared" si="48"/>
        <v>0.7581147726206222</v>
      </c>
      <c r="I86" s="19">
        <f t="shared" si="49"/>
        <v>0.7984902431888301</v>
      </c>
      <c r="J86" s="19">
        <f t="shared" si="50"/>
        <v>3.1939609727553204</v>
      </c>
      <c r="K86" s="3">
        <f t="shared" si="51"/>
        <v>6.796978787615626</v>
      </c>
      <c r="L86" s="3">
        <f t="shared" si="52"/>
        <v>214.9558094843928</v>
      </c>
      <c r="M86" s="3">
        <f t="shared" si="53"/>
        <v>6.914906282467658</v>
      </c>
      <c r="N86" s="3">
        <f t="shared" si="54"/>
        <v>1345.069899650955</v>
      </c>
      <c r="O86" s="3">
        <f t="shared" si="55"/>
        <v>1852.1625515893134</v>
      </c>
      <c r="P86" s="3">
        <f t="shared" si="22"/>
        <v>3425.9001457947443</v>
      </c>
      <c r="Q86" s="5">
        <f t="shared" si="66"/>
        <v>0.02702646855813302</v>
      </c>
      <c r="R86"/>
      <c r="S86" s="24">
        <f t="shared" si="56"/>
        <v>3.873090966501848</v>
      </c>
      <c r="T86" s="24">
        <f t="shared" si="57"/>
        <v>3.4794389915552655</v>
      </c>
      <c r="U86" s="24">
        <f t="shared" si="58"/>
        <v>3.1939609727553204</v>
      </c>
      <c r="V86" s="24">
        <f t="shared" si="59"/>
        <v>3.0472129287900436</v>
      </c>
      <c r="W86" s="24">
        <f t="shared" si="60"/>
        <v>3.0592246582522122</v>
      </c>
      <c r="X86" s="24">
        <f t="shared" si="61"/>
        <v>1964.4222542268928</v>
      </c>
      <c r="Y86" s="24">
        <f t="shared" si="62"/>
        <v>1887.472023135657</v>
      </c>
      <c r="Z86" s="24">
        <f t="shared" si="63"/>
        <v>1824.9670405601585</v>
      </c>
      <c r="AA86" s="24">
        <f t="shared" si="64"/>
        <v>1790.536390016986</v>
      </c>
      <c r="AB86" s="24">
        <f t="shared" si="65"/>
        <v>1793.4150500068727</v>
      </c>
      <c r="AC86" s="24"/>
      <c r="AD86" s="24"/>
      <c r="AE86" s="24"/>
      <c r="AF86" s="24"/>
      <c r="AG86" s="24"/>
      <c r="BX86" s="2"/>
    </row>
    <row r="87" spans="1:76" ht="16.5">
      <c r="A87" s="20">
        <f>'[1]coil geom 2'!$A72</f>
        <v>51</v>
      </c>
      <c r="B87" s="5">
        <f>'[2]Bf'!$P57</f>
        <v>-0.5197396600150359</v>
      </c>
      <c r="C87" s="12">
        <f>'[2]Bf'!$O57</f>
        <v>186.28593034491297</v>
      </c>
      <c r="D87" s="6">
        <f>'[2]Br'!$M57</f>
        <v>-1.68723168296781</v>
      </c>
      <c r="E87" s="19">
        <f t="shared" si="45"/>
        <v>1.7654687950238412</v>
      </c>
      <c r="F87" s="19">
        <f t="shared" si="46"/>
        <v>0.24498687721660894</v>
      </c>
      <c r="G87" s="19">
        <f t="shared" si="47"/>
        <v>87.80859313924721</v>
      </c>
      <c r="H87" s="19">
        <f t="shared" si="48"/>
        <v>0.7953012882242799</v>
      </c>
      <c r="I87" s="19">
        <f t="shared" si="49"/>
        <v>0.8321794932942922</v>
      </c>
      <c r="J87" s="19">
        <f t="shared" si="50"/>
        <v>3.328717973177169</v>
      </c>
      <c r="K87" s="3">
        <f t="shared" si="51"/>
        <v>6.490909228547815</v>
      </c>
      <c r="L87" s="3">
        <f t="shared" si="52"/>
        <v>204.89437865748616</v>
      </c>
      <c r="M87" s="3">
        <f t="shared" si="53"/>
        <v>7.609914048469584</v>
      </c>
      <c r="N87" s="3">
        <f t="shared" si="54"/>
        <v>1460.96444114693</v>
      </c>
      <c r="O87" s="3">
        <f t="shared" si="55"/>
        <v>1879.351635196929</v>
      </c>
      <c r="P87" s="3">
        <f t="shared" si="22"/>
        <v>3559.311278278363</v>
      </c>
      <c r="Q87" s="5">
        <f t="shared" si="66"/>
        <v>0.028078931158889004</v>
      </c>
      <c r="R87"/>
      <c r="S87" s="24">
        <f t="shared" si="56"/>
        <v>3.953257953291931</v>
      </c>
      <c r="T87" s="24">
        <f t="shared" si="57"/>
        <v>3.589865009919949</v>
      </c>
      <c r="U87" s="24">
        <f t="shared" si="58"/>
        <v>3.328717973177169</v>
      </c>
      <c r="V87" s="24">
        <f t="shared" si="59"/>
        <v>3.1949876544020333</v>
      </c>
      <c r="W87" s="24">
        <f t="shared" si="60"/>
        <v>3.204665207152474</v>
      </c>
      <c r="X87" s="24">
        <f t="shared" si="61"/>
        <v>1978.8280938728064</v>
      </c>
      <c r="Y87" s="24">
        <f t="shared" si="62"/>
        <v>1910.1164708580343</v>
      </c>
      <c r="Z87" s="24">
        <f t="shared" si="63"/>
        <v>1855.195032640193</v>
      </c>
      <c r="AA87" s="24">
        <f t="shared" si="64"/>
        <v>1825.2023172849474</v>
      </c>
      <c r="AB87" s="24">
        <f t="shared" si="65"/>
        <v>1827.4162613286642</v>
      </c>
      <c r="AC87" s="24"/>
      <c r="AD87" s="24"/>
      <c r="AE87" s="24"/>
      <c r="AF87" s="24"/>
      <c r="AG87" s="24"/>
      <c r="BX87" s="2"/>
    </row>
    <row r="88" spans="1:76" ht="16.5">
      <c r="A88" s="20">
        <f>'[1]coil geom 2'!$A73</f>
        <v>52</v>
      </c>
      <c r="B88" s="5">
        <f>'[2]Bf'!$P58</f>
        <v>-0.507115608884023</v>
      </c>
      <c r="C88" s="12">
        <f>'[2]Bf'!$O58</f>
        <v>179.04529282170077</v>
      </c>
      <c r="D88" s="6">
        <f>'[2]Br'!$M58</f>
        <v>-1.7698720892038968</v>
      </c>
      <c r="E88" s="19">
        <f t="shared" si="45"/>
        <v>1.8410902891810548</v>
      </c>
      <c r="F88" s="19">
        <f t="shared" si="46"/>
        <v>0.2390363463983139</v>
      </c>
      <c r="G88" s="19">
        <f t="shared" si="47"/>
        <v>84.39561292561902</v>
      </c>
      <c r="H88" s="19">
        <f t="shared" si="48"/>
        <v>0.8342550502964396</v>
      </c>
      <c r="I88" s="19">
        <f t="shared" si="49"/>
        <v>0.8678247886783192</v>
      </c>
      <c r="J88" s="19">
        <f t="shared" si="50"/>
        <v>3.4712991547132774</v>
      </c>
      <c r="K88" s="3">
        <f t="shared" si="51"/>
        <v>6.179420884028445</v>
      </c>
      <c r="L88" s="3">
        <f t="shared" si="52"/>
        <v>194.08669478716928</v>
      </c>
      <c r="M88" s="3">
        <f t="shared" si="53"/>
        <v>8.373635812317563</v>
      </c>
      <c r="N88" s="3">
        <f t="shared" si="54"/>
        <v>1588.801820654416</v>
      </c>
      <c r="O88" s="3">
        <f t="shared" si="55"/>
        <v>1906.6518900027374</v>
      </c>
      <c r="P88" s="3">
        <f t="shared" si="22"/>
        <v>3704.0934621406686</v>
      </c>
      <c r="Q88" s="5">
        <f t="shared" si="66"/>
        <v>0.02922109846482626</v>
      </c>
      <c r="R88"/>
      <c r="S88" s="24">
        <f t="shared" si="56"/>
        <v>4.035923409726542</v>
      </c>
      <c r="T88" s="24">
        <f t="shared" si="57"/>
        <v>3.7064448746134397</v>
      </c>
      <c r="U88" s="24">
        <f t="shared" si="58"/>
        <v>3.4712991547132774</v>
      </c>
      <c r="V88" s="24">
        <f t="shared" si="59"/>
        <v>3.3504074988086674</v>
      </c>
      <c r="W88" s="24">
        <f t="shared" si="60"/>
        <v>3.356139354709357</v>
      </c>
      <c r="X88" s="24">
        <f t="shared" si="61"/>
        <v>1993.244750987781</v>
      </c>
      <c r="Y88" s="24">
        <f t="shared" si="62"/>
        <v>1933.120108346847</v>
      </c>
      <c r="Z88" s="24">
        <f t="shared" si="63"/>
        <v>1885.7695156877808</v>
      </c>
      <c r="AA88" s="24">
        <f t="shared" si="64"/>
        <v>1859.9385484042682</v>
      </c>
      <c r="AB88" s="24">
        <f t="shared" si="65"/>
        <v>1861.1865265870106</v>
      </c>
      <c r="AC88" s="24"/>
      <c r="AD88" s="24"/>
      <c r="AE88" s="24"/>
      <c r="AF88" s="24"/>
      <c r="AG88" s="24"/>
      <c r="BX88" s="2"/>
    </row>
    <row r="89" spans="1:76" ht="16.5">
      <c r="A89" s="20">
        <f>'[1]coil geom 2'!$A74</f>
        <v>53</v>
      </c>
      <c r="B89" s="5">
        <f>'[2]Bf'!$P59</f>
        <v>-0.4933396757856654</v>
      </c>
      <c r="C89" s="12">
        <f>'[2]Bf'!$O59</f>
        <v>169.5704965161943</v>
      </c>
      <c r="D89" s="6">
        <f>'[2]Br'!$M59</f>
        <v>-1.857988197278325</v>
      </c>
      <c r="E89" s="19">
        <f t="shared" si="45"/>
        <v>1.9223694173935106</v>
      </c>
      <c r="F89" s="19">
        <f t="shared" si="46"/>
        <v>0.232542859196637</v>
      </c>
      <c r="G89" s="19">
        <f t="shared" si="47"/>
        <v>79.9295293500798</v>
      </c>
      <c r="H89" s="19">
        <f t="shared" si="48"/>
        <v>0.8757898643781875</v>
      </c>
      <c r="I89" s="19">
        <f t="shared" si="49"/>
        <v>0.9061368924786757</v>
      </c>
      <c r="J89" s="19">
        <f t="shared" si="50"/>
        <v>3.6245475699147027</v>
      </c>
      <c r="K89" s="3">
        <f t="shared" si="51"/>
        <v>5.848249710167464</v>
      </c>
      <c r="L89" s="3">
        <f t="shared" si="52"/>
        <v>182.10779226441693</v>
      </c>
      <c r="M89" s="3">
        <f t="shared" si="53"/>
        <v>9.228183233521568</v>
      </c>
      <c r="N89" s="3">
        <f t="shared" si="54"/>
        <v>1732.1809244914878</v>
      </c>
      <c r="O89" s="3">
        <f t="shared" si="55"/>
        <v>1934.4748687864922</v>
      </c>
      <c r="P89" s="3">
        <f t="shared" si="22"/>
        <v>3863.8400184860857</v>
      </c>
      <c r="Q89" s="5">
        <f t="shared" si="66"/>
        <v>0.030481317706078516</v>
      </c>
      <c r="R89"/>
      <c r="S89" s="24">
        <f t="shared" si="56"/>
        <v>4.123183095843501</v>
      </c>
      <c r="T89" s="24">
        <f t="shared" si="57"/>
        <v>3.83169605305239</v>
      </c>
      <c r="U89" s="24">
        <f t="shared" si="58"/>
        <v>3.6245475699147027</v>
      </c>
      <c r="V89" s="24">
        <f t="shared" si="59"/>
        <v>3.5166731683000556</v>
      </c>
      <c r="W89" s="24">
        <f t="shared" si="60"/>
        <v>3.517219057889085</v>
      </c>
      <c r="X89" s="24">
        <f t="shared" si="61"/>
        <v>2007.9843146008302</v>
      </c>
      <c r="Y89" s="24">
        <f t="shared" si="62"/>
        <v>1956.8185986522985</v>
      </c>
      <c r="Z89" s="24">
        <f t="shared" si="63"/>
        <v>1917.0562630890527</v>
      </c>
      <c r="AA89" s="24">
        <f t="shared" si="64"/>
        <v>1895.2012810140259</v>
      </c>
      <c r="AB89" s="24">
        <f t="shared" si="65"/>
        <v>1895.3138865762548</v>
      </c>
      <c r="AC89" s="24"/>
      <c r="AD89" s="24"/>
      <c r="AE89" s="24"/>
      <c r="AF89" s="24"/>
      <c r="AG89" s="24"/>
      <c r="BX89" s="2"/>
    </row>
    <row r="90" spans="1:76" ht="16.5">
      <c r="A90" s="20">
        <f>'[1]coil geom 2'!$A75</f>
        <v>54</v>
      </c>
      <c r="B90" s="5">
        <f>'[2]Bf'!$P60</f>
        <v>-0.4787903408554657</v>
      </c>
      <c r="C90" s="12">
        <f>'[2]Bf'!$O60</f>
        <v>157.24990032700651</v>
      </c>
      <c r="D90" s="6">
        <f>'[2]Br'!$M60</f>
        <v>-1.9528091483623131</v>
      </c>
      <c r="E90" s="19">
        <f t="shared" si="45"/>
        <v>2.010647597274081</v>
      </c>
      <c r="F90" s="19">
        <f t="shared" si="46"/>
        <v>0.22568481774945354</v>
      </c>
      <c r="G90" s="19">
        <f t="shared" si="47"/>
        <v>74.12203644921352</v>
      </c>
      <c r="H90" s="19">
        <f t="shared" si="48"/>
        <v>0.9204851041066758</v>
      </c>
      <c r="I90" s="19">
        <f t="shared" si="49"/>
        <v>0.9477481014725812</v>
      </c>
      <c r="J90" s="19">
        <f t="shared" si="50"/>
        <v>3.790992405890324</v>
      </c>
      <c r="K90" s="3">
        <f t="shared" si="51"/>
        <v>5.508388722991881</v>
      </c>
      <c r="L90" s="3">
        <f t="shared" si="52"/>
        <v>169.18079053808844</v>
      </c>
      <c r="M90" s="3">
        <f t="shared" si="53"/>
        <v>10.19412394064511</v>
      </c>
      <c r="N90" s="3">
        <f t="shared" si="54"/>
        <v>1894.9225875301777</v>
      </c>
      <c r="O90" s="3">
        <f t="shared" si="55"/>
        <v>1963.0462966331227</v>
      </c>
      <c r="P90" s="3">
        <f t="shared" si="22"/>
        <v>4042.852187365026</v>
      </c>
      <c r="Q90" s="5">
        <f t="shared" si="66"/>
        <v>0.03189352079076811</v>
      </c>
      <c r="R90"/>
      <c r="S90" s="24">
        <f t="shared" si="56"/>
        <v>4.217414063777916</v>
      </c>
      <c r="T90" s="24">
        <f t="shared" si="57"/>
        <v>3.9681497851100107</v>
      </c>
      <c r="U90" s="24">
        <f t="shared" si="58"/>
        <v>3.790992405890324</v>
      </c>
      <c r="V90" s="24">
        <f t="shared" si="59"/>
        <v>3.696324322715774</v>
      </c>
      <c r="W90" s="24">
        <f t="shared" si="60"/>
        <v>3.6904990107863402</v>
      </c>
      <c r="X90" s="24">
        <f t="shared" si="61"/>
        <v>2023.3546550858434</v>
      </c>
      <c r="Y90" s="24">
        <f t="shared" si="62"/>
        <v>1981.4579302153063</v>
      </c>
      <c r="Z90" s="24">
        <f t="shared" si="63"/>
        <v>1949.2315809268616</v>
      </c>
      <c r="AA90" s="24">
        <f t="shared" si="64"/>
        <v>1931.159480120361</v>
      </c>
      <c r="AB90" s="24">
        <f t="shared" si="65"/>
        <v>1930.02783681724</v>
      </c>
      <c r="AC90" s="24"/>
      <c r="AD90" s="24"/>
      <c r="AE90" s="24"/>
      <c r="AF90" s="24"/>
      <c r="AG90" s="24"/>
      <c r="BX90" s="2"/>
    </row>
    <row r="91" spans="1:76" ht="16.5">
      <c r="A91" s="16">
        <f>J29</f>
        <v>55.21613681534294</v>
      </c>
      <c r="B91" s="5">
        <f>'[2]Bf'!$P61</f>
        <v>-0.4635021370273096</v>
      </c>
      <c r="C91" s="12">
        <f>'[2]Bf'!$O61</f>
        <v>140.2893426549694</v>
      </c>
      <c r="D91" s="6">
        <f>'[2]Br'!$M61</f>
        <v>-2.0562244163677725</v>
      </c>
      <c r="E91" s="19">
        <f t="shared" si="45"/>
        <v>2.1078171366358776</v>
      </c>
      <c r="F91" s="19">
        <f t="shared" si="46"/>
        <v>0.2184784996593493</v>
      </c>
      <c r="G91" s="19">
        <f t="shared" si="47"/>
        <v>66.12742995756275</v>
      </c>
      <c r="H91" s="19">
        <f t="shared" si="48"/>
        <v>0.9692314005975831</v>
      </c>
      <c r="I91" s="19">
        <f t="shared" si="49"/>
        <v>0.9935503825764211</v>
      </c>
      <c r="J91" s="19">
        <f t="shared" si="50"/>
        <v>3.9742015303056846</v>
      </c>
      <c r="K91" s="3">
        <f t="shared" si="51"/>
        <v>5.162229419497163</v>
      </c>
      <c r="L91" s="3">
        <f t="shared" si="52"/>
        <v>155.07365314219842</v>
      </c>
      <c r="M91" s="3">
        <f t="shared" si="53"/>
        <v>11.302417122820687</v>
      </c>
      <c r="N91" s="3">
        <f t="shared" si="54"/>
        <v>2082.501947465234</v>
      </c>
      <c r="O91" s="3">
        <f t="shared" si="55"/>
        <v>1992.5552918241901</v>
      </c>
      <c r="P91" s="3">
        <f t="shared" si="22"/>
        <v>4246.595538973941</v>
      </c>
      <c r="Q91" s="5">
        <f>P91*J$33*(A91-A90)</f>
        <v>0.04074158647118086</v>
      </c>
      <c r="R91"/>
      <c r="S91" s="24">
        <f t="shared" si="56"/>
        <v>4.318961650388429</v>
      </c>
      <c r="T91" s="24">
        <f t="shared" si="57"/>
        <v>4.118118588449176</v>
      </c>
      <c r="U91" s="24">
        <f t="shared" si="58"/>
        <v>3.9742015303056846</v>
      </c>
      <c r="V91" s="24">
        <f t="shared" si="59"/>
        <v>3.8935280944647315</v>
      </c>
      <c r="W91" s="24">
        <f t="shared" si="60"/>
        <v>3.880045149896712</v>
      </c>
      <c r="X91" s="24">
        <f t="shared" si="61"/>
        <v>2039.2884569773194</v>
      </c>
      <c r="Y91" s="24">
        <f t="shared" si="62"/>
        <v>2007.1421903689816</v>
      </c>
      <c r="Z91" s="24">
        <f t="shared" si="63"/>
        <v>1982.5225232355338</v>
      </c>
      <c r="AA91" s="24">
        <f t="shared" si="64"/>
        <v>1968.1347116513566</v>
      </c>
      <c r="AB91" s="24">
        <f t="shared" si="65"/>
        <v>1965.688576887759</v>
      </c>
      <c r="AC91" s="24"/>
      <c r="AD91" s="24"/>
      <c r="AE91" s="24"/>
      <c r="AF91" s="24"/>
      <c r="AG91" s="24"/>
      <c r="BX91" s="2"/>
    </row>
    <row r="92" spans="2:76" ht="16.5">
      <c r="B92" s="5"/>
      <c r="E92" s="19"/>
      <c r="F92" s="19"/>
      <c r="G92" s="19"/>
      <c r="H92" s="19"/>
      <c r="I92" s="19"/>
      <c r="J92" s="19"/>
      <c r="K92" s="3"/>
      <c r="L92" s="3"/>
      <c r="M92" s="3"/>
      <c r="N92" s="3"/>
      <c r="O92" s="3"/>
      <c r="P92" s="3">
        <f t="shared" si="22"/>
        <v>0</v>
      </c>
      <c r="R92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BX92" s="2"/>
    </row>
    <row r="93" spans="1:76" ht="16.5">
      <c r="A93" s="16">
        <f>I30</f>
        <v>66.20526072708387</v>
      </c>
      <c r="B93" s="5">
        <f>'[2]Bf'!$P72</f>
        <v>-0.3268494801752908</v>
      </c>
      <c r="C93" s="12">
        <f>'[2]Bf'!$O72</f>
        <v>103.8678988060364</v>
      </c>
      <c r="D93" s="6">
        <f>'[2]Br'!$M72</f>
        <v>-1.4315649793308114</v>
      </c>
      <c r="E93" s="19">
        <f aca="true" t="shared" si="67" ref="E93:E100">SQRT(B93^2+D93^2)</f>
        <v>1.468403511551673</v>
      </c>
      <c r="F93" s="19">
        <f aca="true" t="shared" si="68" ref="F93:F100">-B93*$E$26*(1-$E$28)/$E$27/$E$29</f>
        <v>0.15406527465250566</v>
      </c>
      <c r="G93" s="19">
        <f aca="true" t="shared" si="69" ref="G93:G100">C93*$E$26*(1-$E$28)/$E$27/$E$29</f>
        <v>48.959650627403434</v>
      </c>
      <c r="H93" s="19">
        <f aca="true" t="shared" si="70" ref="H93:H100">-D93*$E$26*(1-$E$28)/$E$27/$E$29</f>
        <v>0.6747890545985441</v>
      </c>
      <c r="I93" s="19">
        <f aca="true" t="shared" si="71" ref="I93:I100">E93*$E$26*(1-$E$28)/$E$27/$E$29</f>
        <v>0.6921534346225183</v>
      </c>
      <c r="J93" s="19">
        <f aca="true" t="shared" si="72" ref="J93:J100">E93*E$26/E$27</f>
        <v>2.7686137384900738</v>
      </c>
      <c r="K93" s="3">
        <f aca="true" t="shared" si="73" ref="K93:K100">E$33*E$14/120*E$6*F93^2/E$7*E$4*E$9*(E$9-1)/E$5</f>
        <v>2.5670209734622214</v>
      </c>
      <c r="L93" s="3">
        <f aca="true" t="shared" si="74" ref="L93:L100">E$33*E$14/6*F93^2*E$4/E$8/E$5*SQRT(E$6^2+16*E$4^2)*(1+(G93*E$4/F93)^2/15)</f>
        <v>78.11028123987647</v>
      </c>
      <c r="M93" s="3">
        <f aca="true" t="shared" si="75" ref="M93:M100">E$34*E$14*H93^2/8*E$5/E$8/E$4*SQRT(E$6^2+16*E$4^2)</f>
        <v>5.478383602441904</v>
      </c>
      <c r="N93" s="3">
        <f aca="true" t="shared" si="76" ref="N93:N100">E$33*2*E$14*E$15*I93^2/E$13*E$20</f>
        <v>1010.6723466560161</v>
      </c>
      <c r="O93" s="3">
        <f aca="true" t="shared" si="77" ref="O93:O100">(X93+Y93+Z93+AA93+AB93)/5</f>
        <v>1732.839823508876</v>
      </c>
      <c r="P93" s="3">
        <f t="shared" si="22"/>
        <v>2829.6678559806724</v>
      </c>
      <c r="Q93" s="5">
        <f>P93*J$33*(A94-A93)</f>
        <v>0.017740862807563443</v>
      </c>
      <c r="R93"/>
      <c r="S93" s="24">
        <f aca="true" t="shared" si="78" ref="S93:S100">SQRT(($B93-$C93*0.8*$E$4)^2+$D93^2)*$E$26/$E$27</f>
        <v>3.030777108422885</v>
      </c>
      <c r="T93" s="24">
        <f aca="true" t="shared" si="79" ref="T93:T100">SQRT(($B93-$C93*0.4*$E$4)^2+$D93^2)*$E$26/$E$27</f>
        <v>2.8775297188998263</v>
      </c>
      <c r="U93" s="24">
        <f aca="true" t="shared" si="80" ref="U93:U100">SQRT(($B93)^2+$D93^2)*$E$26/$E$27</f>
        <v>2.7686137384900738</v>
      </c>
      <c r="V93" s="24">
        <f aca="true" t="shared" si="81" ref="V93:V100">SQRT(($B93+$C93*0.4*$E$4)^2+$D93^2)*$E$26/$E$27</f>
        <v>2.7093807651109123</v>
      </c>
      <c r="W93" s="24">
        <f aca="true" t="shared" si="82" ref="W93:W100">SQRT(($B93+$C93*0.8*$E$4)^2+$D93^2)*$E$26/$E$27</f>
        <v>2.7030988837522663</v>
      </c>
      <c r="X93" s="24">
        <f aca="true" t="shared" si="83" ref="X93:AB100">$E$35*$E$14*$E$15*$E$17/$E$29*2/3*$E$21/PI()*($E$22*$E$23*LN((S93+$E$23)/($E$28*S93+$E$23))+$E$24*S93*(1-$E$28)+$E$25*S93^2/2*(1-$E$28^2))</f>
        <v>1786.5798070666922</v>
      </c>
      <c r="Y93" s="24">
        <f t="shared" si="83"/>
        <v>1748.691184214605</v>
      </c>
      <c r="Z93" s="24">
        <f t="shared" si="83"/>
        <v>1720.6407877905</v>
      </c>
      <c r="AA93" s="24">
        <f t="shared" si="83"/>
        <v>1704.9824626958607</v>
      </c>
      <c r="AB93" s="24">
        <f t="shared" si="83"/>
        <v>1703.3048757767226</v>
      </c>
      <c r="AC93" s="24"/>
      <c r="AD93" s="24"/>
      <c r="AE93" s="24"/>
      <c r="AF93" s="24"/>
      <c r="AG93" s="24"/>
      <c r="BX93" s="2"/>
    </row>
    <row r="94" spans="1:76" ht="16.5">
      <c r="A94" s="20">
        <f>'[1]coil geom 2'!$A79</f>
        <v>67</v>
      </c>
      <c r="B94" s="5">
        <f>'[2]Bf'!$P73</f>
        <v>-0.3163960523853646</v>
      </c>
      <c r="C94" s="12">
        <f>'[2]Bf'!$O73</f>
        <v>116.97068031077002</v>
      </c>
      <c r="D94" s="6">
        <f>'[2]Br'!$M73</f>
        <v>-1.5031113978909254</v>
      </c>
      <c r="E94" s="19">
        <f t="shared" si="67"/>
        <v>1.536050238903225</v>
      </c>
      <c r="F94" s="19">
        <f t="shared" si="68"/>
        <v>0.14913789883825812</v>
      </c>
      <c r="G94" s="19">
        <f t="shared" si="69"/>
        <v>55.135837997063405</v>
      </c>
      <c r="H94" s="19">
        <f t="shared" si="70"/>
        <v>0.7085135036016615</v>
      </c>
      <c r="I94" s="19">
        <f t="shared" si="71"/>
        <v>0.7240397072369666</v>
      </c>
      <c r="J94" s="19">
        <f t="shared" si="72"/>
        <v>2.8961588289478666</v>
      </c>
      <c r="K94" s="3">
        <f t="shared" si="73"/>
        <v>2.4054477750719316</v>
      </c>
      <c r="L94" s="3">
        <f t="shared" si="74"/>
        <v>76.7490749356826</v>
      </c>
      <c r="M94" s="3">
        <f t="shared" si="75"/>
        <v>6.03966212303902</v>
      </c>
      <c r="N94" s="3">
        <f t="shared" si="76"/>
        <v>1105.9370168139023</v>
      </c>
      <c r="O94" s="3">
        <f t="shared" si="77"/>
        <v>1767.7096638104417</v>
      </c>
      <c r="P94" s="3">
        <f t="shared" si="22"/>
        <v>2958.8408654581376</v>
      </c>
      <c r="Q94" s="5">
        <f aca="true" t="shared" si="84" ref="Q94:Q99">P94*J$33</f>
        <v>0.023341900293557042</v>
      </c>
      <c r="R94"/>
      <c r="S94" s="24">
        <f t="shared" si="78"/>
        <v>3.185689024419656</v>
      </c>
      <c r="T94" s="24">
        <f t="shared" si="79"/>
        <v>3.013964507507532</v>
      </c>
      <c r="U94" s="24">
        <f t="shared" si="80"/>
        <v>2.8961588289478666</v>
      </c>
      <c r="V94" s="24">
        <f t="shared" si="81"/>
        <v>2.838992125779944</v>
      </c>
      <c r="W94" s="24">
        <f t="shared" si="82"/>
        <v>2.8461206994361055</v>
      </c>
      <c r="X94" s="24">
        <f t="shared" si="83"/>
        <v>1823.068606901616</v>
      </c>
      <c r="Y94" s="24">
        <f t="shared" si="83"/>
        <v>1782.5113191141595</v>
      </c>
      <c r="Z94" s="24">
        <f t="shared" si="83"/>
        <v>1753.394445794891</v>
      </c>
      <c r="AA94" s="24">
        <f t="shared" si="83"/>
        <v>1738.8746086227375</v>
      </c>
      <c r="AB94" s="24">
        <f t="shared" si="83"/>
        <v>1740.6993386188042</v>
      </c>
      <c r="AC94" s="24"/>
      <c r="AD94" s="24"/>
      <c r="AE94" s="24"/>
      <c r="AF94" s="24"/>
      <c r="AG94" s="24"/>
      <c r="BX94" s="2"/>
    </row>
    <row r="95" spans="1:76" ht="16.5">
      <c r="A95" s="20">
        <f>'[1]coil geom 2'!$A80</f>
        <v>68</v>
      </c>
      <c r="B95" s="5">
        <f>'[2]Bf'!$P74</f>
        <v>-0.3060447855019479</v>
      </c>
      <c r="C95" s="12">
        <f>'[2]Bf'!$O74</f>
        <v>124.38540401609183</v>
      </c>
      <c r="D95" s="6">
        <f>'[2]Br'!$M74</f>
        <v>-1.6262178333673354</v>
      </c>
      <c r="E95" s="19">
        <f t="shared" si="67"/>
        <v>1.6547651955171416</v>
      </c>
      <c r="F95" s="19">
        <f t="shared" si="68"/>
        <v>0.144258678058896</v>
      </c>
      <c r="G95" s="19">
        <f t="shared" si="69"/>
        <v>58.630876274377485</v>
      </c>
      <c r="H95" s="19">
        <f t="shared" si="70"/>
        <v>0.7665415193812563</v>
      </c>
      <c r="I95" s="19">
        <f t="shared" si="71"/>
        <v>0.7799977353368568</v>
      </c>
      <c r="J95" s="19">
        <f t="shared" si="72"/>
        <v>3.1199909413474267</v>
      </c>
      <c r="K95" s="3">
        <f t="shared" si="73"/>
        <v>2.250628366347214</v>
      </c>
      <c r="L95" s="3">
        <f t="shared" si="74"/>
        <v>74.46651012607758</v>
      </c>
      <c r="M95" s="3">
        <f t="shared" si="75"/>
        <v>7.069484492098215</v>
      </c>
      <c r="N95" s="3">
        <f t="shared" si="76"/>
        <v>1283.489469687319</v>
      </c>
      <c r="O95" s="3">
        <f t="shared" si="77"/>
        <v>1821.9830769216169</v>
      </c>
      <c r="P95" s="3">
        <f t="shared" si="22"/>
        <v>3189.259169593459</v>
      </c>
      <c r="Q95" s="5">
        <f t="shared" si="84"/>
        <v>0.025159639511547868</v>
      </c>
      <c r="R95"/>
      <c r="S95" s="24">
        <f t="shared" si="78"/>
        <v>3.4089410427919375</v>
      </c>
      <c r="T95" s="24">
        <f t="shared" si="79"/>
        <v>3.2356337937800173</v>
      </c>
      <c r="U95" s="24">
        <f t="shared" si="80"/>
        <v>3.1199909413474267</v>
      </c>
      <c r="V95" s="24">
        <f t="shared" si="81"/>
        <v>3.0685389541518933</v>
      </c>
      <c r="W95" s="24">
        <f t="shared" si="82"/>
        <v>3.0844917838477124</v>
      </c>
      <c r="X95" s="24">
        <f t="shared" si="83"/>
        <v>1872.573606378851</v>
      </c>
      <c r="Y95" s="24">
        <f t="shared" si="83"/>
        <v>1834.4551016937028</v>
      </c>
      <c r="Z95" s="24">
        <f t="shared" si="83"/>
        <v>1807.8119353672516</v>
      </c>
      <c r="AA95" s="24">
        <f t="shared" si="83"/>
        <v>1795.639773578554</v>
      </c>
      <c r="AB95" s="24">
        <f t="shared" si="83"/>
        <v>1799.4349675897245</v>
      </c>
      <c r="AC95" s="24"/>
      <c r="AD95" s="24"/>
      <c r="AE95" s="24"/>
      <c r="AF95" s="24"/>
      <c r="AG95" s="24"/>
      <c r="BX95" s="2"/>
    </row>
    <row r="96" spans="1:76" ht="16.5">
      <c r="A96" s="20">
        <f>'[1]coil geom 2'!$A81</f>
        <v>69</v>
      </c>
      <c r="B96" s="5">
        <f>'[2]Bf'!$P75</f>
        <v>-0.29536781640040477</v>
      </c>
      <c r="C96" s="12">
        <f>'[2]Bf'!$O75</f>
        <v>126.9506343646594</v>
      </c>
      <c r="D96" s="6">
        <f>'[2]Br'!$M75</f>
        <v>-1.7448986966969309</v>
      </c>
      <c r="E96" s="19">
        <f t="shared" si="67"/>
        <v>1.7697213364537907</v>
      </c>
      <c r="F96" s="19">
        <f t="shared" si="68"/>
        <v>0.13922593278359874</v>
      </c>
      <c r="G96" s="19">
        <f t="shared" si="69"/>
        <v>59.84003505286796</v>
      </c>
      <c r="H96" s="19">
        <f t="shared" si="70"/>
        <v>0.8224834771138019</v>
      </c>
      <c r="I96" s="19">
        <f t="shared" si="71"/>
        <v>0.8341839907866088</v>
      </c>
      <c r="J96" s="19">
        <f t="shared" si="72"/>
        <v>3.336735963146435</v>
      </c>
      <c r="K96" s="3">
        <f t="shared" si="73"/>
        <v>2.096332486339244</v>
      </c>
      <c r="L96" s="3">
        <f t="shared" si="74"/>
        <v>71.05842300553866</v>
      </c>
      <c r="M96" s="3">
        <f t="shared" si="75"/>
        <v>8.138994294904947</v>
      </c>
      <c r="N96" s="3">
        <f t="shared" si="76"/>
        <v>1468.0110616603515</v>
      </c>
      <c r="O96" s="3">
        <f t="shared" si="77"/>
        <v>1869.968129848652</v>
      </c>
      <c r="P96" s="3">
        <f t="shared" si="22"/>
        <v>3419.2729412957865</v>
      </c>
      <c r="Q96" s="5">
        <f t="shared" si="84"/>
        <v>0.026974187427219368</v>
      </c>
      <c r="R96"/>
      <c r="S96" s="24">
        <f t="shared" si="78"/>
        <v>3.610994006424274</v>
      </c>
      <c r="T96" s="24">
        <f t="shared" si="79"/>
        <v>3.445225315531949</v>
      </c>
      <c r="U96" s="24">
        <f t="shared" si="80"/>
        <v>3.336735963146435</v>
      </c>
      <c r="V96" s="24">
        <f t="shared" si="81"/>
        <v>3.291195216536035</v>
      </c>
      <c r="W96" s="24">
        <f t="shared" si="82"/>
        <v>3.3112013939908493</v>
      </c>
      <c r="X96" s="24">
        <f t="shared" si="83"/>
        <v>1914.3540119280099</v>
      </c>
      <c r="Y96" s="24">
        <f t="shared" si="83"/>
        <v>1880.2849434472007</v>
      </c>
      <c r="Z96" s="24">
        <f t="shared" si="83"/>
        <v>1856.9524715193397</v>
      </c>
      <c r="AA96" s="24">
        <f t="shared" si="83"/>
        <v>1846.909540465569</v>
      </c>
      <c r="AB96" s="24">
        <f t="shared" si="83"/>
        <v>1851.3396818831413</v>
      </c>
      <c r="AC96" s="24"/>
      <c r="AD96" s="24"/>
      <c r="AE96" s="24"/>
      <c r="AF96" s="24"/>
      <c r="AG96" s="24"/>
      <c r="BX96" s="2"/>
    </row>
    <row r="97" spans="1:76" ht="16.5">
      <c r="A97" s="20">
        <f>'[1]coil geom 2'!$A82</f>
        <v>70</v>
      </c>
      <c r="B97" s="5">
        <f>'[2]Bf'!$P76</f>
        <v>-0.2833675986125561</v>
      </c>
      <c r="C97" s="12">
        <f>'[2]Bf'!$O76</f>
        <v>125.64999275201042</v>
      </c>
      <c r="D97" s="6">
        <f>'[2]Br'!$M76</f>
        <v>-1.8630264814476016</v>
      </c>
      <c r="E97" s="19">
        <f t="shared" si="67"/>
        <v>1.8844534662650807</v>
      </c>
      <c r="F97" s="19">
        <f t="shared" si="68"/>
        <v>0.13356945491989444</v>
      </c>
      <c r="G97" s="19">
        <f t="shared" si="69"/>
        <v>59.22695863870394</v>
      </c>
      <c r="H97" s="19">
        <f t="shared" si="70"/>
        <v>0.8781647331829373</v>
      </c>
      <c r="I97" s="19">
        <f t="shared" si="71"/>
        <v>0.8882646553217443</v>
      </c>
      <c r="J97" s="19">
        <f t="shared" si="72"/>
        <v>3.553058621286977</v>
      </c>
      <c r="K97" s="3">
        <f t="shared" si="73"/>
        <v>1.9294529797100202</v>
      </c>
      <c r="L97" s="3">
        <f t="shared" si="74"/>
        <v>66.3515393911505</v>
      </c>
      <c r="M97" s="3">
        <f t="shared" si="75"/>
        <v>9.278298996859785</v>
      </c>
      <c r="N97" s="3">
        <f t="shared" si="76"/>
        <v>1664.5252574488993</v>
      </c>
      <c r="O97" s="3">
        <f t="shared" si="77"/>
        <v>1913.9288070683208</v>
      </c>
      <c r="P97" s="3">
        <f t="shared" si="22"/>
        <v>3656.01335588494</v>
      </c>
      <c r="Q97" s="5">
        <f t="shared" si="84"/>
        <v>0.028841800929961685</v>
      </c>
      <c r="R97"/>
      <c r="S97" s="24">
        <f t="shared" si="78"/>
        <v>3.802584618856842</v>
      </c>
      <c r="T97" s="24">
        <f t="shared" si="79"/>
        <v>3.650944507215779</v>
      </c>
      <c r="U97" s="24">
        <f t="shared" si="80"/>
        <v>3.553058621286977</v>
      </c>
      <c r="V97" s="24">
        <f t="shared" si="81"/>
        <v>3.513422704168199</v>
      </c>
      <c r="W97" s="24">
        <f t="shared" si="82"/>
        <v>3.5339972255729992</v>
      </c>
      <c r="X97" s="24">
        <f t="shared" si="83"/>
        <v>1951.4035038953314</v>
      </c>
      <c r="Y97" s="24">
        <f t="shared" si="83"/>
        <v>1922.283396677429</v>
      </c>
      <c r="Z97" s="24">
        <f t="shared" si="83"/>
        <v>1902.6619308957402</v>
      </c>
      <c r="AA97" s="24">
        <f t="shared" si="83"/>
        <v>1894.5303526892353</v>
      </c>
      <c r="AB97" s="24">
        <f t="shared" si="83"/>
        <v>1898.7648511838684</v>
      </c>
      <c r="AC97" s="24"/>
      <c r="AD97" s="24"/>
      <c r="AE97" s="24"/>
      <c r="AF97" s="24"/>
      <c r="AG97" s="24"/>
      <c r="BX97" s="2"/>
    </row>
    <row r="98" spans="1:76" ht="16.5">
      <c r="A98" s="20">
        <f>'[1]coil geom 2'!$A83</f>
        <v>71</v>
      </c>
      <c r="B98" s="5">
        <f>'[2]Bf'!$P77</f>
        <v>-0.2699889150048618</v>
      </c>
      <c r="C98" s="12">
        <f>'[2]Bf'!$O77</f>
        <v>120.61920848467275</v>
      </c>
      <c r="D98" s="6">
        <f>'[2]Br'!$M77</f>
        <v>-1.9834856507491039</v>
      </c>
      <c r="E98" s="19">
        <f t="shared" si="67"/>
        <v>2.0017765462091663</v>
      </c>
      <c r="F98" s="19">
        <f t="shared" si="68"/>
        <v>0.1272632170656902</v>
      </c>
      <c r="G98" s="19">
        <f t="shared" si="69"/>
        <v>56.855625022235564</v>
      </c>
      <c r="H98" s="19">
        <f t="shared" si="70"/>
        <v>0.9349449213995303</v>
      </c>
      <c r="I98" s="19">
        <f t="shared" si="71"/>
        <v>0.9435666020311884</v>
      </c>
      <c r="J98" s="19">
        <f t="shared" si="72"/>
        <v>3.7742664081247534</v>
      </c>
      <c r="K98" s="3">
        <f t="shared" si="73"/>
        <v>1.7515626952836183</v>
      </c>
      <c r="L98" s="3">
        <f t="shared" si="74"/>
        <v>60.4497267577801</v>
      </c>
      <c r="M98" s="3">
        <f t="shared" si="75"/>
        <v>10.516916685953483</v>
      </c>
      <c r="N98" s="3">
        <f t="shared" si="76"/>
        <v>1878.2385380814424</v>
      </c>
      <c r="O98" s="3">
        <f t="shared" si="77"/>
        <v>1955.2372290452136</v>
      </c>
      <c r="P98" s="3">
        <f t="shared" si="22"/>
        <v>3906.193973265673</v>
      </c>
      <c r="Q98" s="5">
        <f t="shared" si="84"/>
        <v>0.030815442396947914</v>
      </c>
      <c r="R98"/>
      <c r="S98" s="24">
        <f t="shared" si="78"/>
        <v>3.991202002267174</v>
      </c>
      <c r="T98" s="24">
        <f t="shared" si="79"/>
        <v>3.8589541475900306</v>
      </c>
      <c r="U98" s="24">
        <f t="shared" si="80"/>
        <v>3.7742664081247534</v>
      </c>
      <c r="V98" s="24">
        <f t="shared" si="81"/>
        <v>3.7403706824045373</v>
      </c>
      <c r="W98" s="24">
        <f t="shared" si="82"/>
        <v>3.7586413609281304</v>
      </c>
      <c r="X98" s="24">
        <f t="shared" si="83"/>
        <v>1985.5004396062936</v>
      </c>
      <c r="Y98" s="24">
        <f t="shared" si="83"/>
        <v>1961.8382103243339</v>
      </c>
      <c r="Z98" s="24">
        <f t="shared" si="83"/>
        <v>1946.0820669812792</v>
      </c>
      <c r="AA98" s="24">
        <f t="shared" si="83"/>
        <v>1939.6423763373134</v>
      </c>
      <c r="AB98" s="24">
        <f t="shared" si="83"/>
        <v>1943.1230519768478</v>
      </c>
      <c r="AC98" s="24"/>
      <c r="AD98" s="24"/>
      <c r="AE98" s="24"/>
      <c r="AF98" s="24"/>
      <c r="AG98" s="24"/>
      <c r="BX98" s="2"/>
    </row>
    <row r="99" spans="1:76" ht="16.5">
      <c r="A99" s="20">
        <f>'[1]coil geom 2'!$A84</f>
        <v>72</v>
      </c>
      <c r="B99" s="5">
        <f>'[2]Bf'!$P78</f>
        <v>-0.25583793143957845</v>
      </c>
      <c r="C99" s="12">
        <f>'[2]Bf'!$O78</f>
        <v>111.28668841819632</v>
      </c>
      <c r="D99" s="6">
        <f>'[2]Br'!$M78</f>
        <v>-2.108555433516901</v>
      </c>
      <c r="E99" s="19">
        <f t="shared" si="67"/>
        <v>2.1240195534356383</v>
      </c>
      <c r="F99" s="19">
        <f t="shared" si="68"/>
        <v>0.12059294435049654</v>
      </c>
      <c r="G99" s="19">
        <f t="shared" si="69"/>
        <v>52.45660542927</v>
      </c>
      <c r="H99" s="19">
        <f t="shared" si="70"/>
        <v>0.9938983895908088</v>
      </c>
      <c r="I99" s="19">
        <f t="shared" si="71"/>
        <v>1.0011876282986747</v>
      </c>
      <c r="J99" s="19">
        <f t="shared" si="72"/>
        <v>4.004750513194699</v>
      </c>
      <c r="K99" s="3">
        <f t="shared" si="73"/>
        <v>1.5727644707449164</v>
      </c>
      <c r="L99" s="3">
        <f t="shared" si="74"/>
        <v>53.60326389106381</v>
      </c>
      <c r="M99" s="3">
        <f t="shared" si="75"/>
        <v>11.885031950363404</v>
      </c>
      <c r="N99" s="3">
        <f t="shared" si="76"/>
        <v>2114.6406436206444</v>
      </c>
      <c r="O99" s="3">
        <f t="shared" si="77"/>
        <v>1994.690011746221</v>
      </c>
      <c r="P99" s="3">
        <f t="shared" si="22"/>
        <v>4176.391715679038</v>
      </c>
      <c r="Q99" s="5">
        <f t="shared" si="84"/>
        <v>0.03294699628907669</v>
      </c>
      <c r="R99"/>
      <c r="S99" s="24">
        <f t="shared" si="78"/>
        <v>4.182437956147733</v>
      </c>
      <c r="T99" s="24">
        <f t="shared" si="79"/>
        <v>4.074147755342202</v>
      </c>
      <c r="U99" s="24">
        <f t="shared" si="80"/>
        <v>4.004750513194699</v>
      </c>
      <c r="V99" s="24">
        <f t="shared" si="81"/>
        <v>3.9762831235646585</v>
      </c>
      <c r="W99" s="24">
        <f t="shared" si="82"/>
        <v>3.9896218304239888</v>
      </c>
      <c r="X99" s="24">
        <f t="shared" si="83"/>
        <v>2017.7155289584925</v>
      </c>
      <c r="Y99" s="24">
        <f t="shared" si="83"/>
        <v>1999.761667492985</v>
      </c>
      <c r="Z99" s="24">
        <f t="shared" si="83"/>
        <v>1987.86026884405</v>
      </c>
      <c r="AA99" s="24">
        <f t="shared" si="83"/>
        <v>1982.8881568880036</v>
      </c>
      <c r="AB99" s="24">
        <f t="shared" si="83"/>
        <v>1985.2244365475742</v>
      </c>
      <c r="AC99" s="24"/>
      <c r="AD99" s="24"/>
      <c r="AE99" s="24"/>
      <c r="AF99" s="24"/>
      <c r="AG99" s="24"/>
      <c r="BX99" s="2"/>
    </row>
    <row r="100" spans="1:76" ht="16.5">
      <c r="A100" s="16">
        <f>J30</f>
        <v>73.17120452647318</v>
      </c>
      <c r="B100" s="5">
        <f>'[2]Bf'!$P79</f>
        <v>-0.24045827362357386</v>
      </c>
      <c r="C100" s="12">
        <f>'[2]Bf'!$O79</f>
        <v>96.65180988093557</v>
      </c>
      <c r="D100" s="6">
        <f>'[2]Br'!$M79</f>
        <v>-2.240046943380341</v>
      </c>
      <c r="E100" s="19">
        <f t="shared" si="67"/>
        <v>2.252915997080592</v>
      </c>
      <c r="F100" s="19">
        <f t="shared" si="68"/>
        <v>0.1133435180879443</v>
      </c>
      <c r="G100" s="19">
        <f t="shared" si="69"/>
        <v>45.55824175391731</v>
      </c>
      <c r="H100" s="19">
        <f t="shared" si="70"/>
        <v>1.0558788326091637</v>
      </c>
      <c r="I100" s="19">
        <f t="shared" si="71"/>
        <v>1.0619448489656338</v>
      </c>
      <c r="J100" s="19">
        <f t="shared" si="72"/>
        <v>4.247779395862535</v>
      </c>
      <c r="K100" s="3">
        <f t="shared" si="73"/>
        <v>1.3893551311490207</v>
      </c>
      <c r="L100" s="3">
        <f t="shared" si="74"/>
        <v>45.76118083171446</v>
      </c>
      <c r="M100" s="3">
        <f t="shared" si="75"/>
        <v>13.413575154974646</v>
      </c>
      <c r="N100" s="3">
        <f t="shared" si="76"/>
        <v>2379.0827701564413</v>
      </c>
      <c r="O100" s="3">
        <f t="shared" si="77"/>
        <v>2032.6586253857204</v>
      </c>
      <c r="P100" s="3">
        <f t="shared" si="22"/>
        <v>4472.305506659999</v>
      </c>
      <c r="Q100" s="5">
        <f>P100*J$33*(A100-A99)</f>
        <v>0.0413217595689083</v>
      </c>
      <c r="S100" s="24">
        <f t="shared" si="78"/>
        <v>4.380613898239544</v>
      </c>
      <c r="T100" s="24">
        <f t="shared" si="79"/>
        <v>4.300109861284388</v>
      </c>
      <c r="U100" s="24">
        <f t="shared" si="80"/>
        <v>4.247779395862535</v>
      </c>
      <c r="V100" s="24">
        <f t="shared" si="81"/>
        <v>4.224669579487442</v>
      </c>
      <c r="W100" s="24">
        <f t="shared" si="82"/>
        <v>4.231259221427138</v>
      </c>
      <c r="X100" s="24">
        <f t="shared" si="83"/>
        <v>2048.6458840946893</v>
      </c>
      <c r="Y100" s="24">
        <f t="shared" si="83"/>
        <v>2036.3795662069779</v>
      </c>
      <c r="Z100" s="24">
        <f t="shared" si="83"/>
        <v>2028.1875038366352</v>
      </c>
      <c r="AA100" s="24">
        <f t="shared" si="83"/>
        <v>2024.5147276582566</v>
      </c>
      <c r="AB100" s="24">
        <f t="shared" si="83"/>
        <v>2025.5654451320438</v>
      </c>
      <c r="AC100" s="24"/>
      <c r="AD100" s="24"/>
      <c r="AE100" s="24"/>
      <c r="AF100" s="24"/>
      <c r="AG100" s="24"/>
      <c r="BX100" s="2"/>
    </row>
    <row r="101" spans="2:76" ht="16.5">
      <c r="B101" s="5"/>
      <c r="E101" s="19"/>
      <c r="F101" s="19"/>
      <c r="G101" s="19"/>
      <c r="H101" s="19"/>
      <c r="I101" s="19"/>
      <c r="J101" s="3"/>
      <c r="K101" s="3"/>
      <c r="L101" s="3"/>
      <c r="M101" s="3"/>
      <c r="N101" s="3"/>
      <c r="O101" s="3"/>
      <c r="P101" s="5"/>
      <c r="Q101" s="2"/>
      <c r="BX101" s="2"/>
    </row>
    <row r="102" spans="1:18" ht="16.5">
      <c r="A102" s="2" t="s">
        <v>68</v>
      </c>
      <c r="B102" s="5"/>
      <c r="E102" s="19"/>
      <c r="F102" s="19"/>
      <c r="G102" s="19"/>
      <c r="H102" s="19"/>
      <c r="I102" s="19"/>
      <c r="J102" s="19"/>
      <c r="K102" s="3">
        <f aca="true" t="shared" si="85" ref="K102:Q102">SUM(K39:K100)</f>
        <v>630.3756248788424</v>
      </c>
      <c r="L102" s="3">
        <f t="shared" si="85"/>
        <v>19115.632999096302</v>
      </c>
      <c r="M102" s="3">
        <f t="shared" si="85"/>
        <v>217.6291632978226</v>
      </c>
      <c r="N102" s="3">
        <f t="shared" si="85"/>
        <v>50456.42472446872</v>
      </c>
      <c r="O102" s="3">
        <f t="shared" si="85"/>
        <v>95349.52063195748</v>
      </c>
      <c r="P102" s="3">
        <f t="shared" si="85"/>
        <v>165769.58314369907</v>
      </c>
      <c r="Q102" s="5">
        <f t="shared" si="85"/>
        <v>1.328351243492124</v>
      </c>
      <c r="R102"/>
    </row>
    <row r="103" spans="1:16" ht="16.5">
      <c r="A103" s="6" t="s">
        <v>69</v>
      </c>
      <c r="B103" s="5"/>
      <c r="E103" s="19"/>
      <c r="F103" s="19"/>
      <c r="G103" s="19"/>
      <c r="H103" s="19"/>
      <c r="I103" s="19"/>
      <c r="J103" s="19"/>
      <c r="K103" s="18">
        <f aca="true" t="shared" si="86" ref="K103:P103">K102/$P$102</f>
        <v>0.003802721904249435</v>
      </c>
      <c r="L103" s="18">
        <f t="shared" si="86"/>
        <v>0.11531447830526134</v>
      </c>
      <c r="M103" s="18">
        <f t="shared" si="86"/>
        <v>0.0013128413498462413</v>
      </c>
      <c r="N103" s="18">
        <f t="shared" si="86"/>
        <v>0.30437685712661805</v>
      </c>
      <c r="O103" s="18">
        <f t="shared" si="86"/>
        <v>0.5751931013140256</v>
      </c>
      <c r="P103" s="21">
        <f t="shared" si="86"/>
        <v>1</v>
      </c>
    </row>
    <row r="104" spans="2:76" ht="16.5">
      <c r="B104" s="5"/>
      <c r="E104" s="19"/>
      <c r="F104" s="19"/>
      <c r="G104" s="19"/>
      <c r="H104" s="19"/>
      <c r="I104" s="19"/>
      <c r="J104" s="3"/>
      <c r="K104" s="3"/>
      <c r="L104" s="3"/>
      <c r="M104" s="3"/>
      <c r="N104" s="3"/>
      <c r="O104" s="3"/>
      <c r="P104" s="5"/>
      <c r="Q104" s="2"/>
      <c r="R104"/>
      <c r="BX104" s="2"/>
    </row>
    <row r="105" spans="2:18" ht="16.5">
      <c r="B105" s="5"/>
      <c r="E105" s="19"/>
      <c r="F105" s="19"/>
      <c r="G105" s="19"/>
      <c r="H105" s="19"/>
      <c r="I105" s="19"/>
      <c r="J105" s="19"/>
      <c r="K105" s="3"/>
      <c r="L105" s="3"/>
      <c r="M105" s="3"/>
      <c r="N105" s="3"/>
      <c r="O105" s="3" t="s">
        <v>99</v>
      </c>
      <c r="P105" s="3">
        <f>MAX(P39:P100)</f>
        <v>4472.305506659999</v>
      </c>
      <c r="R105"/>
    </row>
    <row r="106" spans="2:76" ht="16.5">
      <c r="B106" s="5"/>
      <c r="E106" s="19"/>
      <c r="F106" s="19"/>
      <c r="G106" s="19"/>
      <c r="H106" s="19"/>
      <c r="I106" s="19"/>
      <c r="J106" s="3"/>
      <c r="K106" s="3"/>
      <c r="L106" s="3"/>
      <c r="M106" s="3"/>
      <c r="N106" s="3"/>
      <c r="O106" s="3"/>
      <c r="P106" s="5"/>
      <c r="Q106" s="2"/>
      <c r="R106"/>
      <c r="BX106" s="2"/>
    </row>
    <row r="107" spans="2:76" ht="16.5">
      <c r="B107" s="5"/>
      <c r="E107" s="19"/>
      <c r="F107" s="19"/>
      <c r="G107" s="19"/>
      <c r="H107" s="19"/>
      <c r="I107" s="19"/>
      <c r="J107" s="3"/>
      <c r="K107" s="3"/>
      <c r="L107" s="3"/>
      <c r="M107" s="3"/>
      <c r="N107" s="3"/>
      <c r="O107" s="3"/>
      <c r="P107" s="5"/>
      <c r="Q107" s="2"/>
      <c r="R107"/>
      <c r="BX107" s="2"/>
    </row>
    <row r="108" spans="2:7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5"/>
      <c r="Q108" s="2"/>
      <c r="R108"/>
      <c r="BX108" s="2"/>
    </row>
    <row r="109" spans="2:76" ht="16.5">
      <c r="B109" s="5"/>
      <c r="E109" s="19"/>
      <c r="F109" s="19"/>
      <c r="G109" s="19"/>
      <c r="H109" s="19"/>
      <c r="I109" s="19"/>
      <c r="J109" s="3"/>
      <c r="K109" s="3"/>
      <c r="L109" s="3"/>
      <c r="M109" s="3"/>
      <c r="N109" s="3"/>
      <c r="O109" s="3"/>
      <c r="P109" s="5"/>
      <c r="Q109" s="2"/>
      <c r="R109"/>
      <c r="BX109" s="2"/>
    </row>
    <row r="110" spans="2:7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5"/>
      <c r="Q110" s="2"/>
      <c r="R110"/>
      <c r="BX110" s="2"/>
    </row>
    <row r="111" spans="2:7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5"/>
      <c r="Q111" s="2"/>
      <c r="R111"/>
      <c r="BX111" s="2"/>
    </row>
    <row r="112" spans="2:7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5"/>
      <c r="Q112" s="2"/>
      <c r="R112"/>
      <c r="BX112" s="2"/>
    </row>
    <row r="113" spans="2:7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5"/>
      <c r="Q113" s="2"/>
      <c r="R113"/>
      <c r="BX113" s="2"/>
    </row>
    <row r="114" spans="2:7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5"/>
      <c r="Q114" s="2"/>
      <c r="R114"/>
      <c r="BX114" s="2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ht="16.5">
      <c r="B122" s="5"/>
    </row>
    <row r="123" ht="16.5">
      <c r="B123" s="5"/>
    </row>
    <row r="124" ht="16.5">
      <c r="B124" s="5"/>
    </row>
    <row r="125" ht="16.5">
      <c r="B125" s="5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</sheetData>
  <mergeCells count="31">
    <mergeCell ref="A32:C32"/>
    <mergeCell ref="S36:AA36"/>
    <mergeCell ref="A37:E37"/>
    <mergeCell ref="S37:V37"/>
    <mergeCell ref="X37:AB37"/>
    <mergeCell ref="A28:C28"/>
    <mergeCell ref="A29:C29"/>
    <mergeCell ref="A30:C30"/>
    <mergeCell ref="A31:C31"/>
    <mergeCell ref="A26:C26"/>
    <mergeCell ref="A27:C27"/>
    <mergeCell ref="A22:C22"/>
    <mergeCell ref="A23:C23"/>
    <mergeCell ref="A24:C24"/>
    <mergeCell ref="A25:C25"/>
    <mergeCell ref="A17:C17"/>
    <mergeCell ref="A19:C19"/>
    <mergeCell ref="A20:C20"/>
    <mergeCell ref="A21:C21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r:id="rId6"/>
  <drawing r:id="rId5"/>
  <legacyDrawing r:id="rId4"/>
  <oleObjects>
    <oleObject progId="Mathcad" shapeId="170622576" r:id="rId1"/>
    <oleObject progId="Mathcad" shapeId="170622577" r:id="rId2"/>
    <oleObject progId="Mathcad" shapeId="17062257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2002-04-08T03:44:16Z</cp:lastPrinted>
  <dcterms:created xsi:type="dcterms:W3CDTF">1999-02-19T18:19:08Z</dcterms:created>
  <dcterms:modified xsi:type="dcterms:W3CDTF">2002-04-09T18:37:07Z</dcterms:modified>
  <cp:category/>
  <cp:version/>
  <cp:contentType/>
  <cp:contentStatus/>
</cp:coreProperties>
</file>